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95" windowWidth="19320" windowHeight="7575" firstSheet="1" activeTab="1"/>
  </bookViews>
  <sheets>
    <sheet name="ANEXO 15  PLANILHA CUSTO" sheetId="1" r:id="rId1"/>
    <sheet name="ANEXO 32 MEMORIAL DE CÁLCULO" sheetId="2" r:id="rId2"/>
    <sheet name="ANEXO 16 CRONOGRAMA " sheetId="3" r:id="rId3"/>
    <sheet name="Tabela resumo ruas " sheetId="8" r:id="rId4"/>
    <sheet name="BDI" sheetId="9" r:id="rId5"/>
    <sheet name="BDI modelo DADE" sheetId="10" r:id="rId6"/>
    <sheet name="Plan1" sheetId="12" r:id="rId7"/>
  </sheets>
  <definedNames>
    <definedName name="_xlnm.Print_Area" localSheetId="0">'ANEXO 15  PLANILHA CUSTO'!$A$1:$H$110</definedName>
    <definedName name="_xlnm.Print_Titles" localSheetId="0">'ANEXO 15  PLANILHA CUSTO'!$1:$7</definedName>
    <definedName name="_xlnm.Print_Titles" localSheetId="1">'ANEXO 32 MEMORIAL DE CÁLCULO'!$1:$4</definedName>
  </definedNames>
  <calcPr calcId="124519"/>
</workbook>
</file>

<file path=xl/calcChain.xml><?xml version="1.0" encoding="utf-8"?>
<calcChain xmlns="http://schemas.openxmlformats.org/spreadsheetml/2006/main">
  <c r="K57" i="3"/>
  <c r="J57"/>
  <c r="P55"/>
  <c r="P53"/>
  <c r="P51"/>
  <c r="P49"/>
  <c r="F95" i="1"/>
  <c r="F92"/>
  <c r="F89"/>
  <c r="G15" i="3" l="1"/>
  <c r="G19"/>
  <c r="G17"/>
  <c r="F19"/>
  <c r="J55"/>
  <c r="K53"/>
  <c r="K51"/>
  <c r="H55" i="1"/>
  <c r="H37"/>
  <c r="H38" s="1"/>
  <c r="F88"/>
  <c r="F94"/>
  <c r="F74"/>
  <c r="F72"/>
  <c r="F71"/>
  <c r="F73" s="1"/>
  <c r="F68"/>
  <c r="F67"/>
  <c r="F47"/>
  <c r="P50" i="3"/>
  <c r="P54"/>
  <c r="P52"/>
  <c r="P48"/>
  <c r="P14"/>
  <c r="P16"/>
  <c r="F15"/>
  <c r="F22" s="1"/>
  <c r="E15"/>
  <c r="E22" s="1"/>
  <c r="P22"/>
  <c r="P12"/>
  <c r="C58"/>
  <c r="O22"/>
  <c r="O21" s="1"/>
  <c r="N22"/>
  <c r="N21" s="1"/>
  <c r="M22"/>
  <c r="M21" s="1"/>
  <c r="L22"/>
  <c r="L21" s="1"/>
  <c r="C22"/>
  <c r="G22" l="1"/>
  <c r="G21" s="1"/>
  <c r="J51"/>
  <c r="J58" s="1"/>
  <c r="H51"/>
  <c r="K55"/>
  <c r="K58" s="1"/>
  <c r="I51"/>
  <c r="I58" s="1"/>
  <c r="P58"/>
  <c r="H49"/>
  <c r="F93" i="1"/>
  <c r="F21" i="3"/>
  <c r="E21"/>
  <c r="D13"/>
  <c r="P18"/>
  <c r="D15"/>
  <c r="I57" l="1"/>
  <c r="H58"/>
  <c r="H57" s="1"/>
  <c r="H59" s="1"/>
  <c r="D22"/>
  <c r="D21" s="1"/>
  <c r="D23" s="1"/>
  <c r="E23" s="1"/>
  <c r="F23" s="1"/>
  <c r="G23" s="1"/>
  <c r="I59" l="1"/>
  <c r="J59" s="1"/>
  <c r="K59" s="1"/>
  <c r="L59" s="1"/>
  <c r="M59" s="1"/>
  <c r="N59" s="1"/>
  <c r="O59" s="1"/>
  <c r="H60"/>
  <c r="I60" s="1"/>
  <c r="J60" s="1"/>
  <c r="K60" s="1"/>
  <c r="L60" s="1"/>
  <c r="M60" s="1"/>
  <c r="N60" s="1"/>
  <c r="O60" s="1"/>
  <c r="D24"/>
  <c r="E24" s="1"/>
  <c r="F24" s="1"/>
  <c r="G24" s="1"/>
  <c r="L24" s="1"/>
  <c r="M24" s="1"/>
  <c r="N24" s="1"/>
  <c r="O24" s="1"/>
  <c r="P21"/>
  <c r="L23" l="1"/>
  <c r="M23" s="1"/>
  <c r="N23" s="1"/>
  <c r="O23" s="1"/>
  <c r="F53" i="1" l="1"/>
  <c r="F50"/>
  <c r="F52" s="1"/>
  <c r="F83"/>
  <c r="F85" s="1"/>
  <c r="F82"/>
  <c r="H82" s="1"/>
  <c r="H95"/>
  <c r="H94"/>
  <c r="H93"/>
  <c r="H92"/>
  <c r="H89"/>
  <c r="H88"/>
  <c r="H87"/>
  <c r="H81"/>
  <c r="H74"/>
  <c r="H73"/>
  <c r="H72"/>
  <c r="H71"/>
  <c r="H68"/>
  <c r="H67"/>
  <c r="F61"/>
  <c r="H61" s="1"/>
  <c r="H60"/>
  <c r="F51" l="1"/>
  <c r="F84"/>
  <c r="H84" s="1"/>
  <c r="H96"/>
  <c r="H90"/>
  <c r="H75"/>
  <c r="H69"/>
  <c r="H85"/>
  <c r="H83"/>
  <c r="H86" s="1"/>
  <c r="F62"/>
  <c r="H97" l="1"/>
  <c r="H98" s="1"/>
  <c r="F64"/>
  <c r="H64" s="1"/>
  <c r="H62"/>
  <c r="H65" s="1"/>
  <c r="F63"/>
  <c r="H63" s="1"/>
  <c r="H76" l="1"/>
  <c r="H77" s="1"/>
  <c r="F41"/>
  <c r="F42" s="1"/>
  <c r="H14"/>
  <c r="G15"/>
  <c r="H17" l="1"/>
  <c r="H16"/>
  <c r="C41" i="2" l="1"/>
  <c r="H41" i="1" l="1"/>
  <c r="H53"/>
  <c r="H52"/>
  <c r="H51"/>
  <c r="H50"/>
  <c r="H47"/>
  <c r="H46"/>
  <c r="H40"/>
  <c r="H28"/>
  <c r="F27"/>
  <c r="H26"/>
  <c r="H25"/>
  <c r="H48" l="1"/>
  <c r="H54"/>
  <c r="C13" i="8"/>
  <c r="D13"/>
  <c r="E13"/>
  <c r="B13"/>
  <c r="H42" i="1" l="1"/>
  <c r="H45" s="1"/>
  <c r="F43"/>
  <c r="H43" s="1"/>
  <c r="F44"/>
  <c r="H44" s="1"/>
  <c r="B24" i="9"/>
  <c r="D24" s="1"/>
  <c r="F9"/>
  <c r="F8"/>
  <c r="F7"/>
  <c r="F6"/>
  <c r="F5"/>
  <c r="H56" i="1" l="1"/>
  <c r="H100" s="1"/>
  <c r="H102" s="1"/>
  <c r="H21" l="1"/>
  <c r="C33" i="2"/>
  <c r="H24" i="1"/>
  <c r="H29" s="1"/>
  <c r="C37" i="2"/>
  <c r="C49"/>
  <c r="B49"/>
  <c r="H20" i="1"/>
  <c r="H13"/>
  <c r="H18" s="1"/>
  <c r="C29" i="2"/>
  <c r="C17"/>
  <c r="B17"/>
  <c r="A17"/>
  <c r="C13"/>
  <c r="B13"/>
  <c r="A13"/>
  <c r="C9"/>
  <c r="B9"/>
  <c r="A9"/>
  <c r="C5"/>
  <c r="B5"/>
  <c r="A5"/>
  <c r="H22" i="1" l="1"/>
  <c r="H19" l="1"/>
  <c r="H10" l="1"/>
  <c r="H11" s="1"/>
  <c r="H30" l="1"/>
  <c r="H31" s="1"/>
  <c r="H33" s="1"/>
</calcChain>
</file>

<file path=xl/sharedStrings.xml><?xml version="1.0" encoding="utf-8"?>
<sst xmlns="http://schemas.openxmlformats.org/spreadsheetml/2006/main" count="560" uniqueCount="224">
  <si>
    <t>SERVIÇOS PRELIMINARES</t>
  </si>
  <si>
    <t>3.1</t>
  </si>
  <si>
    <t>3</t>
  </si>
  <si>
    <t>2</t>
  </si>
  <si>
    <t>1.1</t>
  </si>
  <si>
    <t>1</t>
  </si>
  <si>
    <t>TOTAL</t>
  </si>
  <si>
    <t>QUANT.</t>
  </si>
  <si>
    <t>UNID.</t>
  </si>
  <si>
    <t>ITEM</t>
  </si>
  <si>
    <t>4</t>
  </si>
  <si>
    <t>4.1</t>
  </si>
  <si>
    <t>m2</t>
  </si>
  <si>
    <t>m3</t>
  </si>
  <si>
    <t>unid</t>
  </si>
  <si>
    <t>m²</t>
  </si>
  <si>
    <t>RECAPEAMENTO</t>
  </si>
  <si>
    <t>CPOS 170</t>
  </si>
  <si>
    <t xml:space="preserve">CONVÊNIO </t>
  </si>
  <si>
    <t>PRAZO DE EXECUÇÃO DA OBRA: 06 MESES</t>
  </si>
  <si>
    <t xml:space="preserve">Subitens </t>
  </si>
  <si>
    <t>02.08.02</t>
  </si>
  <si>
    <t>Imprimação betuminosa ligante</t>
  </si>
  <si>
    <t>54.03.230</t>
  </si>
  <si>
    <t>54.03.210</t>
  </si>
  <si>
    <t>Camada de rolamento em concreto betuminoso usinado quente - CBUQ</t>
  </si>
  <si>
    <t>54.01.410</t>
  </si>
  <si>
    <t>Varrição de pavimento para recapeamento</t>
  </si>
  <si>
    <t>SINAPI</t>
  </si>
  <si>
    <t>2.1</t>
  </si>
  <si>
    <t>2.2</t>
  </si>
  <si>
    <t>2.3</t>
  </si>
  <si>
    <t>BASE  SERVIÇOS</t>
  </si>
  <si>
    <t>CÓDIGO SERVIÇOS</t>
  </si>
  <si>
    <t>DESCRIÇÃO DOS SERVIÇOS</t>
  </si>
  <si>
    <t>VALOR TOTAL     R$</t>
  </si>
  <si>
    <t>P. U.  R$      S/BDI</t>
  </si>
  <si>
    <t>BASE: CPOS Nº 170 - 01/07/17</t>
  </si>
  <si>
    <t xml:space="preserve">item
</t>
  </si>
  <si>
    <t xml:space="preserve">CÓD. SERVIÇO
</t>
  </si>
  <si>
    <t>DESCRIÇÃO DO SERVIÇO</t>
  </si>
  <si>
    <t>Rampa de acessibilidade pré-fabricada de concreto nas dimensões 2,20 x 1,86 x 1,20 m</t>
  </si>
  <si>
    <t>30.12.010</t>
  </si>
  <si>
    <t>03.01.020</t>
  </si>
  <si>
    <t>Demolição manual de concreto simples - calçada existente</t>
  </si>
  <si>
    <t>05.08.080</t>
  </si>
  <si>
    <t>Transporte de entulho, para distâncias superiores ao 5° km até o 10° km - 6,20km</t>
  </si>
  <si>
    <t xml:space="preserve">  SINAPI 15/07/17                                                      DATA: 21/07/2017</t>
  </si>
  <si>
    <t>4.2</t>
  </si>
  <si>
    <t>4.3</t>
  </si>
  <si>
    <t>4,4</t>
  </si>
  <si>
    <t>4.4</t>
  </si>
  <si>
    <t>Piso em ladrilho hidráulico tipo rampa várias cores 30 x 30 cm, antiderrapante, assentado com argamassa mista</t>
  </si>
  <si>
    <t>54.07.260</t>
  </si>
  <si>
    <t xml:space="preserve">SINALIZAÇÃO HORIZONTAL (faixa de pedestre e divisor de sentido de tráfego) </t>
  </si>
  <si>
    <t>Sinalização horizontal com tinta retrorreflexiva a base de resina acrílica com microesferas de vidro - Divisor de sentido</t>
  </si>
  <si>
    <t>3.2</t>
  </si>
  <si>
    <t>Sinalização horizontal com tinta retrorreflexiva a base de resina acrílica com microesferas de vidro -Faixa de pedestre</t>
  </si>
  <si>
    <t>Execução de passeio (calçada) em concreto moldado in loco, usinado, acabamento convencional, não armado</t>
  </si>
  <si>
    <t>52quadrasx2unid</t>
  </si>
  <si>
    <t xml:space="preserve"> Execução de passeio (calçada) em concreto moldado in loco, usinado, acabamento convencional, não armado</t>
  </si>
  <si>
    <t>CONVÊNIO</t>
  </si>
  <si>
    <t>CONTRAPARTIDA</t>
  </si>
  <si>
    <t>3,1</t>
  </si>
  <si>
    <t>3,2</t>
  </si>
  <si>
    <t>RAMPAS E PISO PODOTÁTIL</t>
  </si>
  <si>
    <t>ÁREA DE RECAPEMANTO:  37.872,54m2</t>
  </si>
  <si>
    <t>MÊS</t>
  </si>
  <si>
    <t>A EXECUTADO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</si>
  <si>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</si>
  <si>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</si>
  <si>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</si>
  <si>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</si>
  <si>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</si>
  <si>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</si>
  <si>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</si>
  <si>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</si>
  <si>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</si>
  <si>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</si>
  <si>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</si>
  <si>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</si>
  <si>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SERVIÇOS</t>
  </si>
  <si>
    <t xml:space="preserve">  % / R$</t>
  </si>
  <si>
    <t>1              30</t>
  </si>
  <si>
    <t>1.0</t>
  </si>
  <si>
    <t>2.0</t>
  </si>
  <si>
    <t>3.0</t>
  </si>
  <si>
    <t>TOTAL  (R$)</t>
  </si>
  <si>
    <t>TOTAL ACUMULADO DOS SERVIÇOS (R$)</t>
  </si>
  <si>
    <t>Engº Joaquim Carlos Cambraia</t>
  </si>
  <si>
    <t>CREA 0600278645</t>
  </si>
  <si>
    <t>4.0</t>
  </si>
  <si>
    <t>Eng. Joaquim Carlos Cambraia</t>
  </si>
  <si>
    <t xml:space="preserve">                        Joaquim Carlos Cambraia</t>
  </si>
  <si>
    <t xml:space="preserve">                    Engº civil CREA 066027864-5</t>
  </si>
  <si>
    <t>OBJETO: Valorização dos acessos aos pontos turísticos -Jardim das Oliveiras</t>
  </si>
  <si>
    <t>LOCAL: JARDIM DAS OLIVEIRAS</t>
  </si>
  <si>
    <r>
      <rPr>
        <b/>
        <sz val="14"/>
        <color indexed="8"/>
        <rFont val="Arial"/>
        <family val="2"/>
        <charset val="1"/>
      </rPr>
      <t>ANEXO 27</t>
    </r>
  </si>
  <si>
    <t>DEMONSTRATIVO DE COMPOSIÇÃO DO BDI                                                             (acórdão 2622/2013-TCU-Plenário)</t>
  </si>
  <si>
    <t>Prefeitura do Municipio de Paraguaçu Paulista - SP</t>
  </si>
  <si>
    <t>Data da Elaboração: 10 de outubro de 2017</t>
  </si>
  <si>
    <t>COMPOSIÇÃO DO BDI (acórdão 2622/2013-TCU-Plenário)</t>
  </si>
  <si>
    <t>ITENS</t>
  </si>
  <si>
    <t>DESCRIÇÃO</t>
  </si>
  <si>
    <t>%</t>
  </si>
  <si>
    <t>AC</t>
  </si>
  <si>
    <t>Administraçao Central</t>
  </si>
  <si>
    <t>S</t>
  </si>
  <si>
    <t>Seguros</t>
  </si>
  <si>
    <t>R</t>
  </si>
  <si>
    <t>Riscos</t>
  </si>
  <si>
    <t>G</t>
  </si>
  <si>
    <t>Garantias</t>
  </si>
  <si>
    <t>DF</t>
  </si>
  <si>
    <t>Despesas Financeiras</t>
  </si>
  <si>
    <t>L</t>
  </si>
  <si>
    <t>Lucro/Remuneração</t>
  </si>
  <si>
    <t>l</t>
  </si>
  <si>
    <t>Impostos/tributos</t>
  </si>
  <si>
    <t>PIS</t>
  </si>
  <si>
    <t>COFINS</t>
  </si>
  <si>
    <t>ISS</t>
  </si>
  <si>
    <t>Contribuição Previdenciaria</t>
  </si>
  <si>
    <t>Taxa do BDI   (%)</t>
  </si>
  <si>
    <t>Declaramos sob pena da Lei que a alternativa adotada pela Prefeitura do Municipio de</t>
  </si>
  <si>
    <t>Paraguaçu Paulista - SP é COM Desoneração e que esta é a mais vantajosa para a</t>
  </si>
  <si>
    <t>Administração Pública.</t>
  </si>
  <si>
    <t>Assinatura do Gestor Técnico</t>
  </si>
  <si>
    <t>Joaquim Carlos Cambraia - CREA 060027864-5</t>
  </si>
  <si>
    <t>Assinatura do Gestor Contábil</t>
  </si>
  <si>
    <t>TABELA DE RESUMO DA RUAS - RECAPEAMENTO ASFÁLTICO</t>
  </si>
  <si>
    <t>Sinalização divisor</t>
  </si>
  <si>
    <t>Sinalização faixa</t>
  </si>
  <si>
    <t>Rampa</t>
  </si>
  <si>
    <t>Área</t>
  </si>
  <si>
    <t>PLANILHA DE COMPOSIÇÃO DO BDI</t>
  </si>
  <si>
    <t>Tipo de obra: Construção de Rodovias e Ferrovias</t>
  </si>
  <si>
    <t>ITEM COMPONENTE</t>
  </si>
  <si>
    <t>1º Quartil</t>
  </si>
  <si>
    <t>Mediana</t>
  </si>
  <si>
    <t>3º Quartil</t>
  </si>
  <si>
    <t>ADOTADO</t>
  </si>
  <si>
    <t>SITUAÇÃO</t>
  </si>
  <si>
    <t>Administração Central</t>
  </si>
  <si>
    <t>Seguro e Garantia</t>
  </si>
  <si>
    <t>Risco</t>
  </si>
  <si>
    <t>Lucro</t>
  </si>
  <si>
    <t>Tributos (PIS, COFINS e ISSQN)</t>
  </si>
  <si>
    <t>Conforme legislação especifica</t>
  </si>
  <si>
    <t>Construção de Rodovias e Ferrovias</t>
  </si>
  <si>
    <t xml:space="preserve">BDI ADOTADO = </t>
  </si>
  <si>
    <t xml:space="preserve">Referência: Convênio DADE </t>
  </si>
  <si>
    <t>Objeto: Valorização dos acessos aos pontos turísticos - Jardim das Oliveiras</t>
  </si>
  <si>
    <t>Joaquim Carlso cambraia</t>
  </si>
  <si>
    <t>Engº civil CREA 060027864-5</t>
  </si>
  <si>
    <t>19x4x(2,20m+1,86m)/2x1,20mx0,08m</t>
  </si>
  <si>
    <t>OBJETO  - Valorização dos acessos aos pontos turísticos-  Jardim das Oliveiras</t>
  </si>
  <si>
    <t>Denis Roberto Victorino da Silva</t>
  </si>
  <si>
    <t>CRC Nº SP 294156/0-1</t>
  </si>
  <si>
    <t>ART nº 28027230172667396</t>
  </si>
  <si>
    <t>ÁREA DE RECAPEMANTO:  20.312,40m2</t>
  </si>
  <si>
    <t xml:space="preserve">  SINAPI 15/07/17                                                      DATA: 28/12/2017</t>
  </si>
  <si>
    <t xml:space="preserve">                                                          PLANILHA ORÇAMENTÁRIA </t>
  </si>
  <si>
    <t>PLANILHA ORÇAMENTÁRIA</t>
  </si>
  <si>
    <t>SERVIÇO: RECAPEAMENTO ASFÁLTICO</t>
  </si>
  <si>
    <t>CONVÊNIO DADETUR Nº  100/2017 - Valorização dos acessos aos pontos turísticos - Jardim das Oliveiras</t>
  </si>
  <si>
    <t>Placa de identificação para obra - Recuso do DADE</t>
  </si>
  <si>
    <t>TOTAL COM BDI - 24,23% - Recurso próprio</t>
  </si>
  <si>
    <t>DADE - TOTAL COM BDI - 24,23%</t>
  </si>
  <si>
    <t>2.4</t>
  </si>
  <si>
    <t>95875</t>
  </si>
  <si>
    <t>Transporte com caminhão basculante de 10m3, em via urbana pavimentada, dmt até 30 km  -  11,20km</t>
  </si>
  <si>
    <t>m³xkm</t>
  </si>
  <si>
    <t>2.5</t>
  </si>
  <si>
    <t>Carga, manobras e descarga de mistura betuminosa a quente com caminhão basculante 6m3, descarga em vibro-acabadora</t>
  </si>
  <si>
    <t>m³</t>
  </si>
  <si>
    <t>2,5</t>
  </si>
  <si>
    <t>RECURSO PRÓPRIO - Recapeamento asfáltico - Jardim das Oliveiras</t>
  </si>
  <si>
    <t xml:space="preserve">RECURSO PRÓPRIO - Recapeamento asfáltico - Conj. Hab. MarioCovas </t>
  </si>
  <si>
    <t>RECURSO PRÓPRIO - Recapeamento asfáltico -  Vila Marin</t>
  </si>
  <si>
    <t>TOTAL GERAL - 24,23% - Recurso próprio</t>
  </si>
  <si>
    <r>
      <t xml:space="preserve"> MEMÓRIA DE CÁLCULO FORMALIZAÇÃO
</t>
    </r>
    <r>
      <rPr>
        <b/>
        <sz val="11"/>
        <color indexed="8"/>
        <rFont val="Arial"/>
        <family val="2"/>
        <charset val="1"/>
      </rPr>
      <t>(ENCAMINHAR JUNTO COM A PLANILHA ORÇAMENTÁRIA)</t>
    </r>
  </si>
  <si>
    <t>OBJETO:    RECAPEAMENTO EM VIAS URBANS - CONVÊNIOC DADE + RECURSO PRÓPRIO</t>
  </si>
  <si>
    <t>ÁREA DA PLACA: 1x3,00mx2,00m</t>
  </si>
  <si>
    <t>ÁREA DAS RUAS: comp x largura</t>
  </si>
  <si>
    <t>ÁREA DAS RUAS x esp. 0,03m</t>
  </si>
  <si>
    <t>VOLUME CAMADA ROLAMENTO x 11,20km</t>
  </si>
  <si>
    <t>Nº FAIXAS x (2x4,00mx0,10+5,00mx0,30m) (faixas) + 0,86m2 (PARE)</t>
  </si>
  <si>
    <t>Nº locaisxNº faixasx0,30mx3,00m</t>
  </si>
  <si>
    <t>Nº RAMPAS x4x(2,20m+1,86m)/2x1,20mx0,08m</t>
  </si>
  <si>
    <t>Nº RAMPASx4unidx(6 advertencia+5direção)x0.30mx0,30 m</t>
  </si>
  <si>
    <t>Paraguaçu Paulista, 12 de janeiro de 2018</t>
  </si>
  <si>
    <t xml:space="preserve">OBJETO:  RECAPEAMENTO EM VIAS URBANAS </t>
  </si>
  <si>
    <t>JARDIM DAS OLIVEIRAS - Convênio DADE</t>
  </si>
  <si>
    <t>JARDIM DAS OLIVEIRAS - Recurso próprio</t>
  </si>
  <si>
    <t>CONJ. HABITACIONAL MARIO COVAS - Recurso próprio</t>
  </si>
  <si>
    <t>VILA MARIN - Recurso próprio</t>
  </si>
  <si>
    <t>Bairros</t>
  </si>
  <si>
    <t>1.2</t>
  </si>
  <si>
    <t>1.3</t>
  </si>
  <si>
    <t>1.4</t>
  </si>
  <si>
    <t>1.5</t>
  </si>
  <si>
    <t>3.3</t>
  </si>
  <si>
    <t>3.4</t>
  </si>
  <si>
    <t>CONVÊNIO DADE 100/2017</t>
  </si>
  <si>
    <t>RECURSO PRÓPRIO - Recapeamento asfáltico - Jardim das Oliveiras, Conj. Hab. MarioCovas e Vila Marin</t>
  </si>
  <si>
    <t>OBJETO: Recapeamento urbano</t>
  </si>
  <si>
    <t>RECURSO PRÓPRIO</t>
  </si>
  <si>
    <t>LOCAL: JARDIM DAS OLIVEIRAS, CONJ. HAB. MARIO COVAS E VILA MARIN</t>
  </si>
  <si>
    <t>CONVÊNIO DADE - 100/2017</t>
  </si>
  <si>
    <t>Área: 1.987,45m2</t>
  </si>
  <si>
    <t>Área: 20.312,40m2</t>
  </si>
  <si>
    <t>LOCAIS: JARDIM DAS OLIVEIRAS, CONJ. HAB. MARIO COVAS E VILA MARIN                                      PARAGUAÇU PAULISTA. - SP</t>
  </si>
  <si>
    <t>PRAZO DE EXECUÇÃO DA OBRA: 04 MESES</t>
  </si>
  <si>
    <t>OBJETO: Recapeamento asfáltico</t>
  </si>
  <si>
    <t>LOCAIS: JARDIM DAS OLIVEIRAS, CONJ. HAB. MARIO COVAS E VILA MARIN</t>
  </si>
  <si>
    <t>Placa de identificação para obra - Recuso próprio</t>
  </si>
  <si>
    <t>Área: 17.156,26m2</t>
  </si>
  <si>
    <t>Área: 25.595,47m2</t>
  </si>
  <si>
    <t>ÁREA DE RECAPEMANTO:  44.739,18 m2</t>
  </si>
  <si>
    <t>ART nº 28027230172667396 - Convênio</t>
  </si>
  <si>
    <t>ART nº 28027230180054277 - Recurso próprio</t>
  </si>
  <si>
    <t xml:space="preserve">            ART nº 28027230172667396 - Convênio</t>
  </si>
  <si>
    <t xml:space="preserve">         ART nº 28027230180054277 - Recurso próprio</t>
  </si>
</sst>
</file>

<file path=xl/styles.xml><?xml version="1.0" encoding="utf-8"?>
<styleSheet xmlns="http://schemas.openxmlformats.org/spreadsheetml/2006/main">
  <numFmts count="7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;[Red]\-&quot;R$&quot;\ #,##0"/>
    <numFmt numFmtId="165" formatCode="_(* #,##0.00_);_(* \(#,##0.00\);_(* &quot;-&quot;??_);_(@_)"/>
    <numFmt numFmtId="166" formatCode="&quot;R$&quot;#,##0.00"/>
    <numFmt numFmtId="167" formatCode="_(* #,##0_);_(* \(#,##0\);_(* &quot;-&quot;??_);_(@_)"/>
    <numFmt numFmtId="168" formatCode="0.00%&quot; (*)&quot;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5.5"/>
      <color indexed="8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sz val="10"/>
      <color indexed="10"/>
      <name val="Arial"/>
      <family val="2"/>
      <charset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333333"/>
      <name val="Calibri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indexed="8"/>
      <name val="Arial"/>
      <family val="2"/>
      <charset val="1"/>
    </font>
    <font>
      <b/>
      <sz val="12"/>
      <color indexed="8"/>
      <name val="Arial"/>
      <family val="2"/>
      <charset val="1"/>
    </font>
    <font>
      <sz val="12"/>
      <color indexed="8"/>
      <name val="Calibri"/>
      <family val="2"/>
    </font>
    <font>
      <i/>
      <sz val="12"/>
      <color indexed="8"/>
      <name val="Arial"/>
      <family val="2"/>
      <charset val="1"/>
    </font>
    <font>
      <sz val="12"/>
      <name val="Calibri"/>
      <family val="2"/>
    </font>
    <font>
      <sz val="14"/>
      <color indexed="8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sz val="12"/>
      <color indexed="8"/>
      <name val="Calibri"/>
      <family val="2"/>
      <scheme val="minor"/>
    </font>
    <font>
      <sz val="9"/>
      <name val="Arial"/>
      <family val="2"/>
    </font>
    <font>
      <b/>
      <sz val="12"/>
      <color indexed="8"/>
      <name val="Arial"/>
      <family val="2"/>
    </font>
    <font>
      <b/>
      <sz val="10"/>
      <color rgb="FFFF0000"/>
      <name val="Arial"/>
      <family val="2"/>
    </font>
    <font>
      <b/>
      <sz val="13"/>
      <color rgb="FFFF0000"/>
      <name val="Arial"/>
      <family val="2"/>
    </font>
    <font>
      <b/>
      <sz val="9"/>
      <color rgb="FFFF0000"/>
      <name val="Arial"/>
      <family val="2"/>
    </font>
    <font>
      <sz val="10"/>
      <color indexed="8"/>
      <name val="Arial"/>
      <family val="2"/>
    </font>
    <font>
      <sz val="9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/>
      <top style="thick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ck">
        <color indexed="8"/>
      </top>
      <bottom/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44" fontId="21" fillId="0" borderId="0" applyFont="0" applyFill="0" applyBorder="0" applyAlignment="0" applyProtection="0"/>
  </cellStyleXfs>
  <cellXfs count="421">
    <xf numFmtId="0" fontId="0" fillId="0" borderId="0" xfId="0"/>
    <xf numFmtId="0" fontId="5" fillId="0" borderId="0" xfId="0" applyFont="1" applyFill="1" applyBorder="1" applyAlignment="1">
      <alignment vertical="center"/>
    </xf>
    <xf numFmtId="165" fontId="5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5" fontId="4" fillId="0" borderId="0" xfId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horizontal="center" vertical="center"/>
    </xf>
    <xf numFmtId="165" fontId="5" fillId="0" borderId="0" xfId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" fontId="5" fillId="0" borderId="0" xfId="1" applyNumberFormat="1" applyFont="1" applyFill="1" applyBorder="1" applyAlignment="1">
      <alignment horizontal="right" vertical="center"/>
    </xf>
    <xf numFmtId="4" fontId="5" fillId="0" borderId="0" xfId="2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>
      <alignment horizontal="right" vertical="center"/>
    </xf>
    <xf numFmtId="4" fontId="4" fillId="0" borderId="0" xfId="1" applyNumberFormat="1" applyFont="1" applyFill="1" applyBorder="1" applyAlignment="1">
      <alignment horizontal="right" vertical="center"/>
    </xf>
    <xf numFmtId="165" fontId="4" fillId="0" borderId="0" xfId="1" applyFont="1" applyFill="1" applyBorder="1" applyAlignment="1">
      <alignment horizontal="right" vertical="center"/>
    </xf>
    <xf numFmtId="4" fontId="5" fillId="0" borderId="0" xfId="1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4" borderId="8" xfId="0" applyFont="1" applyFill="1" applyBorder="1" applyAlignment="1" applyProtection="1">
      <alignment vertical="center"/>
      <protection locked="0"/>
    </xf>
    <xf numFmtId="0" fontId="5" fillId="4" borderId="4" xfId="0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5" xfId="0" applyFont="1" applyFill="1" applyBorder="1" applyAlignment="1">
      <alignment vertical="center"/>
    </xf>
    <xf numFmtId="4" fontId="5" fillId="4" borderId="5" xfId="0" applyNumberFormat="1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horizontal="right" vertical="center"/>
      <protection locked="0"/>
    </xf>
    <xf numFmtId="4" fontId="5" fillId="4" borderId="0" xfId="0" applyNumberFormat="1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/>
    </xf>
    <xf numFmtId="0" fontId="5" fillId="4" borderId="6" xfId="0" applyFont="1" applyFill="1" applyBorder="1" applyAlignment="1" applyProtection="1">
      <alignment vertical="center"/>
      <protection locked="0"/>
    </xf>
    <xf numFmtId="0" fontId="5" fillId="4" borderId="7" xfId="0" applyFont="1" applyFill="1" applyBorder="1" applyAlignment="1" applyProtection="1">
      <alignment vertical="center"/>
      <protection locked="0"/>
    </xf>
    <xf numFmtId="49" fontId="5" fillId="4" borderId="7" xfId="0" applyNumberFormat="1" applyFont="1" applyFill="1" applyBorder="1" applyAlignment="1">
      <alignment horizontal="left" vertical="center"/>
    </xf>
    <xf numFmtId="4" fontId="4" fillId="0" borderId="0" xfId="0" applyNumberFormat="1" applyFont="1" applyBorder="1" applyAlignment="1">
      <alignment horizontal="center"/>
    </xf>
    <xf numFmtId="0" fontId="11" fillId="0" borderId="9" xfId="0" applyFont="1" applyBorder="1" applyAlignment="1">
      <alignment vertical="top" wrapText="1"/>
    </xf>
    <xf numFmtId="49" fontId="11" fillId="0" borderId="9" xfId="0" applyNumberFormat="1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49" fontId="11" fillId="0" borderId="10" xfId="0" applyNumberFormat="1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49" fontId="11" fillId="0" borderId="14" xfId="0" applyNumberFormat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49" fontId="11" fillId="0" borderId="16" xfId="0" applyNumberFormat="1" applyFont="1" applyBorder="1" applyAlignment="1">
      <alignment vertical="top" wrapText="1"/>
    </xf>
    <xf numFmtId="0" fontId="0" fillId="0" borderId="0" xfId="0" applyBorder="1"/>
    <xf numFmtId="0" fontId="11" fillId="0" borderId="17" xfId="0" applyFont="1" applyBorder="1" applyAlignment="1">
      <alignment vertical="top" wrapText="1"/>
    </xf>
    <xf numFmtId="49" fontId="13" fillId="0" borderId="0" xfId="0" applyNumberFormat="1" applyFont="1" applyBorder="1" applyAlignment="1">
      <alignment horizontal="left" vertical="top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4" fontId="8" fillId="4" borderId="1" xfId="1" applyNumberFormat="1" applyFont="1" applyFill="1" applyBorder="1" applyAlignment="1">
      <alignment horizontal="center" vertical="center"/>
    </xf>
    <xf numFmtId="4" fontId="8" fillId="4" borderId="1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right" vertical="center"/>
    </xf>
    <xf numFmtId="165" fontId="3" fillId="0" borderId="0" xfId="1" applyFont="1" applyFill="1" applyBorder="1" applyAlignment="1" applyProtection="1">
      <alignment vertical="center"/>
      <protection locked="0"/>
    </xf>
    <xf numFmtId="165" fontId="8" fillId="0" borderId="0" xfId="1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Alignment="1">
      <alignment horizontal="center" wrapText="1"/>
    </xf>
    <xf numFmtId="43" fontId="0" fillId="6" borderId="0" xfId="0" applyNumberFormat="1" applyFill="1"/>
    <xf numFmtId="0" fontId="12" fillId="0" borderId="25" xfId="0" applyFont="1" applyBorder="1" applyAlignment="1">
      <alignment vertical="top" wrapText="1"/>
    </xf>
    <xf numFmtId="49" fontId="11" fillId="0" borderId="28" xfId="0" applyNumberFormat="1" applyFont="1" applyBorder="1" applyAlignment="1">
      <alignment vertical="top" wrapText="1"/>
    </xf>
    <xf numFmtId="0" fontId="19" fillId="0" borderId="1" xfId="0" applyFont="1" applyBorder="1" applyAlignment="1">
      <alignment horizontal="left" vertical="top"/>
    </xf>
    <xf numFmtId="165" fontId="3" fillId="0" borderId="2" xfId="1" applyFont="1" applyFill="1" applyBorder="1" applyAlignment="1" applyProtection="1">
      <alignment vertical="center"/>
      <protection locked="0"/>
    </xf>
    <xf numFmtId="165" fontId="3" fillId="0" borderId="3" xfId="1" applyFont="1" applyFill="1" applyBorder="1" applyAlignment="1" applyProtection="1">
      <alignment vertical="center"/>
      <protection locked="0"/>
    </xf>
    <xf numFmtId="165" fontId="8" fillId="0" borderId="29" xfId="1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11" fillId="0" borderId="12" xfId="0" applyFont="1" applyBorder="1" applyAlignment="1">
      <alignment horizontal="center" vertical="top" wrapText="1"/>
    </xf>
    <xf numFmtId="0" fontId="3" fillId="0" borderId="26" xfId="0" applyFont="1" applyBorder="1" applyAlignment="1">
      <alignment vertical="top" wrapText="1"/>
    </xf>
    <xf numFmtId="0" fontId="3" fillId="0" borderId="27" xfId="0" applyFont="1" applyBorder="1" applyAlignment="1">
      <alignment vertical="top" wrapText="1"/>
    </xf>
    <xf numFmtId="0" fontId="22" fillId="0" borderId="0" xfId="0" applyFont="1" applyAlignment="1">
      <alignment vertical="center"/>
    </xf>
    <xf numFmtId="0" fontId="22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 wrapText="1"/>
    </xf>
    <xf numFmtId="166" fontId="22" fillId="0" borderId="0" xfId="0" applyNumberFormat="1" applyFont="1" applyAlignment="1">
      <alignment vertical="center"/>
    </xf>
    <xf numFmtId="0" fontId="8" fillId="8" borderId="8" xfId="0" applyFont="1" applyFill="1" applyBorder="1" applyAlignment="1">
      <alignment vertical="center"/>
    </xf>
    <xf numFmtId="0" fontId="8" fillId="8" borderId="40" xfId="0" applyFont="1" applyFill="1" applyBorder="1" applyAlignment="1">
      <alignment horizontal="right" vertical="center"/>
    </xf>
    <xf numFmtId="0" fontId="8" fillId="8" borderId="6" xfId="0" applyFont="1" applyFill="1" applyBorder="1" applyAlignment="1">
      <alignment vertical="center"/>
    </xf>
    <xf numFmtId="0" fontId="8" fillId="8" borderId="39" xfId="0" applyFont="1" applyFill="1" applyBorder="1" applyAlignment="1">
      <alignment vertical="center"/>
    </xf>
    <xf numFmtId="167" fontId="3" fillId="8" borderId="42" xfId="1" applyNumberFormat="1" applyFont="1" applyFill="1" applyBorder="1" applyAlignment="1">
      <alignment horizontal="center" vertical="center"/>
    </xf>
    <xf numFmtId="0" fontId="3" fillId="9" borderId="41" xfId="0" applyFont="1" applyFill="1" applyBorder="1" applyAlignment="1">
      <alignment vertical="center"/>
    </xf>
    <xf numFmtId="10" fontId="3" fillId="7" borderId="41" xfId="2" applyNumberFormat="1" applyFont="1" applyFill="1" applyBorder="1" applyAlignment="1">
      <alignment horizontal="center" vertical="center"/>
    </xf>
    <xf numFmtId="10" fontId="8" fillId="7" borderId="41" xfId="0" applyNumberFormat="1" applyFont="1" applyFill="1" applyBorder="1" applyAlignment="1">
      <alignment vertical="center"/>
    </xf>
    <xf numFmtId="0" fontId="3" fillId="9" borderId="42" xfId="0" applyFont="1" applyFill="1" applyBorder="1" applyAlignment="1">
      <alignment vertical="center"/>
    </xf>
    <xf numFmtId="4" fontId="3" fillId="2" borderId="42" xfId="10" applyNumberFormat="1" applyFont="1" applyFill="1" applyBorder="1" applyAlignment="1">
      <alignment horizontal="center" vertical="center"/>
    </xf>
    <xf numFmtId="4" fontId="8" fillId="0" borderId="43" xfId="1" applyNumberFormat="1" applyFont="1" applyFill="1" applyBorder="1" applyAlignment="1">
      <alignment horizontal="right" vertical="center"/>
    </xf>
    <xf numFmtId="4" fontId="3" fillId="0" borderId="0" xfId="2" applyNumberFormat="1" applyFont="1" applyFill="1" applyBorder="1" applyAlignment="1">
      <alignment horizontal="center" vertical="center"/>
    </xf>
    <xf numFmtId="4" fontId="3" fillId="7" borderId="41" xfId="10" applyNumberFormat="1" applyFont="1" applyFill="1" applyBorder="1" applyAlignment="1">
      <alignment horizontal="center" vertical="center"/>
    </xf>
    <xf numFmtId="10" fontId="8" fillId="10" borderId="41" xfId="2" applyNumberFormat="1" applyFont="1" applyFill="1" applyBorder="1" applyAlignment="1">
      <alignment horizontal="center" vertical="center"/>
    </xf>
    <xf numFmtId="9" fontId="8" fillId="10" borderId="41" xfId="2" applyFont="1" applyFill="1" applyBorder="1" applyAlignment="1">
      <alignment horizontal="center" vertical="center"/>
    </xf>
    <xf numFmtId="4" fontId="8" fillId="10" borderId="42" xfId="0" applyNumberFormat="1" applyFont="1" applyFill="1" applyBorder="1" applyAlignment="1">
      <alignment horizontal="center" vertical="center"/>
    </xf>
    <xf numFmtId="10" fontId="8" fillId="11" borderId="41" xfId="2" applyNumberFormat="1" applyFont="1" applyFill="1" applyBorder="1" applyAlignment="1">
      <alignment horizontal="center" vertical="center"/>
    </xf>
    <xf numFmtId="4" fontId="8" fillId="11" borderId="4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left"/>
    </xf>
    <xf numFmtId="4" fontId="5" fillId="4" borderId="0" xfId="0" applyNumberFormat="1" applyFont="1" applyFill="1" applyBorder="1" applyAlignment="1" applyProtection="1">
      <alignment vertical="center"/>
      <protection locked="0"/>
    </xf>
    <xf numFmtId="0" fontId="5" fillId="4" borderId="4" xfId="0" applyFont="1" applyFill="1" applyBorder="1" applyAlignment="1">
      <alignment horizontal="left" vertical="center"/>
    </xf>
    <xf numFmtId="0" fontId="5" fillId="4" borderId="40" xfId="0" applyFont="1" applyFill="1" applyBorder="1" applyAlignment="1" applyProtection="1">
      <alignment vertical="center"/>
      <protection locked="0"/>
    </xf>
    <xf numFmtId="0" fontId="5" fillId="4" borderId="48" xfId="0" applyFont="1" applyFill="1" applyBorder="1" applyAlignment="1" applyProtection="1">
      <alignment horizontal="right" vertical="center"/>
      <protection locked="0"/>
    </xf>
    <xf numFmtId="0" fontId="5" fillId="4" borderId="39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>
      <alignment vertical="top" wrapText="1"/>
    </xf>
    <xf numFmtId="0" fontId="11" fillId="0" borderId="50" xfId="0" applyFont="1" applyBorder="1" applyAlignment="1">
      <alignment vertical="top" wrapText="1"/>
    </xf>
    <xf numFmtId="0" fontId="11" fillId="0" borderId="51" xfId="0" applyFont="1" applyBorder="1" applyAlignment="1">
      <alignment horizontal="center" vertical="top" wrapText="1"/>
    </xf>
    <xf numFmtId="0" fontId="29" fillId="0" borderId="14" xfId="0" applyFont="1" applyBorder="1" applyAlignment="1">
      <alignment vertical="top" wrapText="1"/>
    </xf>
    <xf numFmtId="0" fontId="28" fillId="0" borderId="50" xfId="0" applyFont="1" applyBorder="1" applyAlignment="1">
      <alignment vertical="top" wrapText="1"/>
    </xf>
    <xf numFmtId="10" fontId="29" fillId="0" borderId="51" xfId="0" applyNumberFormat="1" applyFont="1" applyBorder="1" applyAlignment="1">
      <alignment horizontal="center" vertical="top" wrapText="1"/>
    </xf>
    <xf numFmtId="10" fontId="4" fillId="0" borderId="51" xfId="0" applyNumberFormat="1" applyFont="1" applyFill="1" applyBorder="1" applyAlignment="1">
      <alignment horizontal="center" vertical="center" wrapText="1"/>
    </xf>
    <xf numFmtId="10" fontId="29" fillId="0" borderId="51" xfId="0" applyNumberFormat="1" applyFont="1" applyFill="1" applyBorder="1" applyAlignment="1">
      <alignment horizontal="center" vertical="top" wrapText="1"/>
    </xf>
    <xf numFmtId="0" fontId="22" fillId="0" borderId="14" xfId="0" applyFont="1" applyBorder="1" applyAlignment="1">
      <alignment vertical="top" wrapText="1"/>
    </xf>
    <xf numFmtId="0" fontId="29" fillId="0" borderId="50" xfId="0" applyFont="1" applyBorder="1" applyAlignment="1">
      <alignment vertical="top" wrapText="1"/>
    </xf>
    <xf numFmtId="0" fontId="30" fillId="0" borderId="50" xfId="0" applyFont="1" applyBorder="1" applyAlignment="1">
      <alignment vertical="top" wrapText="1"/>
    </xf>
    <xf numFmtId="0" fontId="22" fillId="0" borderId="51" xfId="0" applyFont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4" fontId="5" fillId="0" borderId="0" xfId="0" applyNumberFormat="1" applyFont="1" applyFill="1" applyBorder="1" applyAlignment="1" applyProtection="1">
      <alignment horizontal="left" vertical="center"/>
      <protection locked="0"/>
    </xf>
    <xf numFmtId="0" fontId="33" fillId="0" borderId="0" xfId="0" applyFont="1"/>
    <xf numFmtId="0" fontId="5" fillId="13" borderId="54" xfId="0" applyFont="1" applyFill="1" applyBorder="1" applyAlignment="1">
      <alignment horizontal="center" vertical="top" wrapText="1"/>
    </xf>
    <xf numFmtId="0" fontId="5" fillId="13" borderId="55" xfId="0" applyFont="1" applyFill="1" applyBorder="1" applyAlignment="1">
      <alignment horizontal="center" vertical="center" wrapText="1"/>
    </xf>
    <xf numFmtId="0" fontId="5" fillId="13" borderId="56" xfId="0" applyFont="1" applyFill="1" applyBorder="1" applyAlignment="1">
      <alignment horizontal="center" vertical="center" wrapText="1"/>
    </xf>
    <xf numFmtId="0" fontId="5" fillId="13" borderId="21" xfId="0" applyFont="1" applyFill="1" applyBorder="1" applyAlignment="1">
      <alignment horizontal="center" vertical="center" wrapText="1"/>
    </xf>
    <xf numFmtId="0" fontId="5" fillId="13" borderId="57" xfId="0" applyFont="1" applyFill="1" applyBorder="1" applyAlignment="1">
      <alignment horizontal="center" vertical="center" wrapText="1"/>
    </xf>
    <xf numFmtId="0" fontId="4" fillId="14" borderId="58" xfId="0" applyFont="1" applyFill="1" applyBorder="1" applyAlignment="1">
      <alignment horizontal="center" vertical="center" wrapText="1"/>
    </xf>
    <xf numFmtId="10" fontId="4" fillId="0" borderId="59" xfId="0" applyNumberFormat="1" applyFont="1" applyBorder="1" applyAlignment="1">
      <alignment horizontal="center" vertical="center" wrapText="1"/>
    </xf>
    <xf numFmtId="10" fontId="4" fillId="0" borderId="56" xfId="0" applyNumberFormat="1" applyFont="1" applyBorder="1" applyAlignment="1">
      <alignment horizontal="center" vertical="center" wrapText="1"/>
    </xf>
    <xf numFmtId="10" fontId="5" fillId="15" borderId="57" xfId="0" applyNumberFormat="1" applyFont="1" applyFill="1" applyBorder="1" applyAlignment="1">
      <alignment horizontal="center" vertical="center" wrapText="1"/>
    </xf>
    <xf numFmtId="0" fontId="34" fillId="0" borderId="57" xfId="0" applyFont="1" applyBorder="1" applyAlignment="1">
      <alignment horizontal="center" vertical="center"/>
    </xf>
    <xf numFmtId="10" fontId="4" fillId="0" borderId="60" xfId="0" applyNumberFormat="1" applyFont="1" applyBorder="1" applyAlignment="1">
      <alignment horizontal="center" vertical="center" wrapText="1"/>
    </xf>
    <xf numFmtId="10" fontId="4" fillId="0" borderId="61" xfId="0" applyNumberFormat="1" applyFont="1" applyBorder="1" applyAlignment="1">
      <alignment horizontal="center" vertical="center" wrapText="1"/>
    </xf>
    <xf numFmtId="0" fontId="4" fillId="14" borderId="62" xfId="0" applyFont="1" applyFill="1" applyBorder="1" applyAlignment="1">
      <alignment horizontal="center" vertical="center" wrapText="1"/>
    </xf>
    <xf numFmtId="10" fontId="4" fillId="0" borderId="57" xfId="0" applyNumberFormat="1" applyFont="1" applyBorder="1" applyAlignment="1">
      <alignment horizontal="center" vertical="center" wrapText="1"/>
    </xf>
    <xf numFmtId="10" fontId="5" fillId="15" borderId="20" xfId="0" applyNumberFormat="1" applyFont="1" applyFill="1" applyBorder="1" applyAlignment="1">
      <alignment horizontal="center" vertical="center" wrapText="1"/>
    </xf>
    <xf numFmtId="0" fontId="4" fillId="14" borderId="63" xfId="0" applyFont="1" applyFill="1" applyBorder="1" applyAlignment="1">
      <alignment horizontal="center" vertical="center" wrapText="1"/>
    </xf>
    <xf numFmtId="10" fontId="5" fillId="15" borderId="22" xfId="0" applyNumberFormat="1" applyFont="1" applyFill="1" applyBorder="1" applyAlignment="1">
      <alignment horizontal="center" vertical="center" wrapText="1"/>
    </xf>
    <xf numFmtId="0" fontId="35" fillId="0" borderId="57" xfId="0" applyFont="1" applyBorder="1" applyAlignment="1">
      <alignment horizontal="center" vertical="center"/>
    </xf>
    <xf numFmtId="0" fontId="4" fillId="12" borderId="67" xfId="0" applyFont="1" applyFill="1" applyBorder="1" applyAlignment="1">
      <alignment vertical="center" wrapText="1"/>
    </xf>
    <xf numFmtId="168" fontId="4" fillId="12" borderId="68" xfId="0" applyNumberFormat="1" applyFont="1" applyFill="1" applyBorder="1" applyAlignment="1">
      <alignment horizontal="center" vertical="center"/>
    </xf>
    <xf numFmtId="10" fontId="0" fillId="12" borderId="69" xfId="0" applyNumberFormat="1" applyFill="1" applyBorder="1"/>
    <xf numFmtId="0" fontId="0" fillId="12" borderId="70" xfId="0" applyFill="1" applyBorder="1"/>
    <xf numFmtId="0" fontId="7" fillId="0" borderId="0" xfId="0" applyFont="1" applyAlignment="1">
      <alignment horizontal="right"/>
    </xf>
    <xf numFmtId="10" fontId="7" fillId="15" borderId="0" xfId="0" applyNumberFormat="1" applyFont="1" applyFill="1"/>
    <xf numFmtId="0" fontId="7" fillId="0" borderId="0" xfId="0" applyFont="1"/>
    <xf numFmtId="0" fontId="36" fillId="0" borderId="1" xfId="0" applyFont="1" applyBorder="1"/>
    <xf numFmtId="0" fontId="36" fillId="0" borderId="0" xfId="0" applyFont="1"/>
    <xf numFmtId="0" fontId="36" fillId="0" borderId="0" xfId="0" applyFont="1" applyFill="1"/>
    <xf numFmtId="0" fontId="0" fillId="0" borderId="0" xfId="0" applyFill="1"/>
    <xf numFmtId="0" fontId="6" fillId="0" borderId="0" xfId="0" applyFont="1"/>
    <xf numFmtId="165" fontId="3" fillId="0" borderId="1" xfId="1" applyFont="1" applyBorder="1"/>
    <xf numFmtId="165" fontId="26" fillId="0" borderId="1" xfId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11" fillId="0" borderId="7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72" xfId="0" applyFont="1" applyBorder="1" applyAlignment="1">
      <alignment vertical="top" wrapText="1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72" xfId="0" applyBorder="1" applyAlignment="1">
      <alignment horizontal="center" vertical="center"/>
    </xf>
    <xf numFmtId="0" fontId="0" fillId="0" borderId="72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75" xfId="0" applyFont="1" applyBorder="1"/>
    <xf numFmtId="0" fontId="26" fillId="0" borderId="51" xfId="0" applyFont="1" applyFill="1" applyBorder="1" applyAlignment="1">
      <alignment horizontal="center" vertical="center"/>
    </xf>
    <xf numFmtId="0" fontId="8" fillId="2" borderId="45" xfId="0" applyFont="1" applyFill="1" applyBorder="1" applyAlignment="1"/>
    <xf numFmtId="165" fontId="8" fillId="2" borderId="76" xfId="0" applyNumberFormat="1" applyFont="1" applyFill="1" applyBorder="1" applyAlignment="1"/>
    <xf numFmtId="0" fontId="8" fillId="0" borderId="76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0" fillId="2" borderId="44" xfId="0" applyFont="1" applyFill="1" applyBorder="1" applyAlignment="1"/>
    <xf numFmtId="0" fontId="0" fillId="2" borderId="41" xfId="0" applyFont="1" applyFill="1" applyBorder="1" applyAlignment="1"/>
    <xf numFmtId="0" fontId="0" fillId="2" borderId="41" xfId="0" applyFont="1" applyFill="1" applyBorder="1" applyAlignment="1">
      <alignment horizontal="center"/>
    </xf>
    <xf numFmtId="0" fontId="0" fillId="2" borderId="47" xfId="0" applyFont="1" applyFill="1" applyBorder="1" applyAlignment="1">
      <alignment horizontal="center"/>
    </xf>
    <xf numFmtId="10" fontId="39" fillId="0" borderId="36" xfId="0" applyNumberFormat="1" applyFont="1" applyBorder="1" applyAlignment="1">
      <alignment horizontal="center" vertical="top" wrapText="1"/>
    </xf>
    <xf numFmtId="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165" fontId="3" fillId="0" borderId="4" xfId="1" applyFont="1" applyFill="1" applyBorder="1" applyAlignment="1" applyProtection="1">
      <alignment vertical="center"/>
      <protection locked="0"/>
    </xf>
    <xf numFmtId="165" fontId="8" fillId="0" borderId="40" xfId="1" applyFont="1" applyFill="1" applyBorder="1" applyAlignment="1">
      <alignment horizontal="right" vertical="center"/>
    </xf>
    <xf numFmtId="165" fontId="3" fillId="0" borderId="6" xfId="1" applyFont="1" applyFill="1" applyBorder="1" applyAlignment="1" applyProtection="1">
      <alignment vertical="center"/>
      <protection locked="0"/>
    </xf>
    <xf numFmtId="165" fontId="3" fillId="0" borderId="7" xfId="1" applyFont="1" applyFill="1" applyBorder="1" applyAlignment="1" applyProtection="1">
      <alignment vertical="center"/>
      <protection locked="0"/>
    </xf>
    <xf numFmtId="165" fontId="8" fillId="0" borderId="39" xfId="1" applyFont="1" applyFill="1" applyBorder="1" applyAlignment="1">
      <alignment horizontal="right" vertical="center"/>
    </xf>
    <xf numFmtId="165" fontId="40" fillId="18" borderId="77" xfId="1" applyFont="1" applyFill="1" applyBorder="1" applyAlignment="1" applyProtection="1">
      <alignment vertical="center"/>
      <protection locked="0"/>
    </xf>
    <xf numFmtId="165" fontId="40" fillId="18" borderId="19" xfId="1" applyFont="1" applyFill="1" applyBorder="1" applyAlignment="1" applyProtection="1">
      <alignment vertical="center"/>
      <protection locked="0"/>
    </xf>
    <xf numFmtId="165" fontId="40" fillId="17" borderId="57" xfId="1" applyFont="1" applyFill="1" applyBorder="1" applyAlignment="1">
      <alignment horizontal="right" vertical="center"/>
    </xf>
    <xf numFmtId="165" fontId="40" fillId="18" borderId="57" xfId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3" fillId="0" borderId="49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9" borderId="42" xfId="0" applyFont="1" applyFill="1" applyBorder="1" applyAlignment="1">
      <alignment horizontal="center" vertical="center" wrapText="1"/>
    </xf>
    <xf numFmtId="166" fontId="8" fillId="8" borderId="41" xfId="0" applyNumberFormat="1" applyFont="1" applyFill="1" applyBorder="1" applyAlignment="1">
      <alignment horizontal="center" vertical="center"/>
    </xf>
    <xf numFmtId="0" fontId="11" fillId="0" borderId="9" xfId="0" applyFont="1" applyBorder="1" applyAlignment="1">
      <alignment horizontal="left" vertical="top" wrapText="1"/>
    </xf>
    <xf numFmtId="165" fontId="42" fillId="0" borderId="0" xfId="1" applyFont="1" applyFill="1" applyBorder="1" applyAlignment="1" applyProtection="1">
      <alignment horizontal="center" vertical="center"/>
      <protection locked="0"/>
    </xf>
    <xf numFmtId="165" fontId="40" fillId="0" borderId="0" xfId="1" applyFont="1" applyFill="1" applyBorder="1" applyAlignment="1">
      <alignment horizontal="right" vertical="center"/>
    </xf>
    <xf numFmtId="165" fontId="3" fillId="0" borderId="4" xfId="1" applyFont="1" applyFill="1" applyBorder="1" applyAlignment="1" applyProtection="1">
      <alignment horizontal="left" vertical="center"/>
      <protection locked="0"/>
    </xf>
    <xf numFmtId="165" fontId="40" fillId="19" borderId="77" xfId="1" applyFont="1" applyFill="1" applyBorder="1" applyAlignment="1" applyProtection="1">
      <alignment vertical="center"/>
      <protection locked="0"/>
    </xf>
    <xf numFmtId="165" fontId="40" fillId="19" borderId="19" xfId="1" applyFont="1" applyFill="1" applyBorder="1" applyAlignment="1" applyProtection="1">
      <alignment vertical="center"/>
      <protection locked="0"/>
    </xf>
    <xf numFmtId="165" fontId="40" fillId="19" borderId="57" xfId="1" applyFont="1" applyFill="1" applyBorder="1" applyAlignment="1" applyProtection="1">
      <alignment vertical="center"/>
      <protection locked="0"/>
    </xf>
    <xf numFmtId="49" fontId="22" fillId="0" borderId="0" xfId="0" applyNumberFormat="1" applyFont="1" applyFill="1" applyBorder="1" applyAlignment="1">
      <alignment horizontal="center"/>
    </xf>
    <xf numFmtId="0" fontId="3" fillId="0" borderId="73" xfId="0" applyFont="1" applyBorder="1" applyAlignment="1">
      <alignment horizontal="center" vertical="center"/>
    </xf>
    <xf numFmtId="0" fontId="8" fillId="4" borderId="8" xfId="0" applyFont="1" applyFill="1" applyBorder="1" applyAlignment="1" applyProtection="1">
      <alignment vertical="center"/>
      <protection locked="0"/>
    </xf>
    <xf numFmtId="0" fontId="8" fillId="4" borderId="4" xfId="0" applyFont="1" applyFill="1" applyBorder="1" applyAlignment="1" applyProtection="1">
      <alignment vertical="center"/>
      <protection locked="0"/>
    </xf>
    <xf numFmtId="0" fontId="8" fillId="4" borderId="4" xfId="0" applyFont="1" applyFill="1" applyBorder="1" applyAlignment="1">
      <alignment horizontal="left" vertical="center"/>
    </xf>
    <xf numFmtId="0" fontId="8" fillId="4" borderId="40" xfId="0" applyFont="1" applyFill="1" applyBorder="1" applyAlignment="1" applyProtection="1">
      <alignment vertical="center"/>
      <protection locked="0"/>
    </xf>
    <xf numFmtId="0" fontId="8" fillId="4" borderId="5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0" xfId="0" applyFont="1" applyFill="1" applyBorder="1" applyAlignment="1" applyProtection="1">
      <alignment vertical="center"/>
      <protection locked="0"/>
    </xf>
    <xf numFmtId="4" fontId="8" fillId="4" borderId="0" xfId="0" applyNumberFormat="1" applyFont="1" applyFill="1" applyBorder="1" applyAlignment="1" applyProtection="1">
      <alignment vertical="center"/>
      <protection locked="0"/>
    </xf>
    <xf numFmtId="4" fontId="8" fillId="4" borderId="0" xfId="0" applyNumberFormat="1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48" xfId="0" applyFont="1" applyFill="1" applyBorder="1" applyAlignment="1" applyProtection="1">
      <alignment horizontal="right" vertical="center"/>
      <protection locked="0"/>
    </xf>
    <xf numFmtId="0" fontId="8" fillId="4" borderId="6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49" fontId="8" fillId="4" borderId="7" xfId="0" applyNumberFormat="1" applyFont="1" applyFill="1" applyBorder="1" applyAlignment="1">
      <alignment horizontal="left" vertical="center"/>
    </xf>
    <xf numFmtId="0" fontId="8" fillId="4" borderId="7" xfId="0" applyFont="1" applyFill="1" applyBorder="1" applyAlignment="1" applyProtection="1">
      <alignment vertical="center"/>
      <protection locked="0"/>
    </xf>
    <xf numFmtId="0" fontId="8" fillId="4" borderId="39" xfId="0" applyFont="1" applyFill="1" applyBorder="1" applyAlignment="1" applyProtection="1">
      <alignment vertical="center"/>
      <protection locked="0"/>
    </xf>
    <xf numFmtId="4" fontId="8" fillId="0" borderId="42" xfId="1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49" fontId="22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/>
    </xf>
    <xf numFmtId="165" fontId="3" fillId="0" borderId="5" xfId="1" applyFont="1" applyFill="1" applyBorder="1" applyAlignment="1" applyProtection="1">
      <alignment horizontal="left" vertical="center"/>
      <protection locked="0"/>
    </xf>
    <xf numFmtId="165" fontId="8" fillId="0" borderId="78" xfId="1" applyFont="1" applyFill="1" applyBorder="1" applyAlignment="1">
      <alignment horizontal="right" vertical="center"/>
    </xf>
    <xf numFmtId="49" fontId="8" fillId="5" borderId="1" xfId="0" applyNumberFormat="1" applyFont="1" applyFill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 applyProtection="1">
      <alignment vertical="center"/>
      <protection locked="0"/>
    </xf>
    <xf numFmtId="0" fontId="8" fillId="5" borderId="1" xfId="0" applyFont="1" applyFill="1" applyBorder="1" applyAlignment="1" applyProtection="1">
      <alignment horizontal="center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" fontId="8" fillId="5" borderId="1" xfId="0" applyNumberFormat="1" applyFont="1" applyFill="1" applyBorder="1" applyAlignment="1" applyProtection="1">
      <alignment vertical="center"/>
      <protection locked="0"/>
    </xf>
    <xf numFmtId="4" fontId="8" fillId="5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/>
    <xf numFmtId="165" fontId="3" fillId="16" borderId="1" xfId="1" applyFont="1" applyFill="1" applyBorder="1" applyAlignment="1" applyProtection="1">
      <alignment horizontal="right" vertical="center"/>
      <protection locked="0"/>
    </xf>
    <xf numFmtId="165" fontId="3" fillId="0" borderId="1" xfId="1" applyFont="1" applyFill="1" applyBorder="1" applyAlignment="1" applyProtection="1">
      <alignment vertical="center"/>
      <protection locked="0"/>
    </xf>
    <xf numFmtId="165" fontId="3" fillId="0" borderId="1" xfId="1" applyFont="1" applyFill="1" applyBorder="1" applyAlignment="1">
      <alignment horizontal="right" vertical="center"/>
    </xf>
    <xf numFmtId="49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3" fillId="0" borderId="1" xfId="4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43" fillId="0" borderId="1" xfId="1" applyFont="1" applyFill="1" applyBorder="1" applyAlignment="1">
      <alignment horizontal="right" vertical="center" wrapText="1"/>
    </xf>
    <xf numFmtId="0" fontId="1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165" fontId="8" fillId="16" borderId="1" xfId="1" applyFont="1" applyFill="1" applyBorder="1" applyAlignment="1" applyProtection="1">
      <alignment horizontal="right" vertical="center"/>
      <protection locked="0"/>
    </xf>
    <xf numFmtId="165" fontId="8" fillId="0" borderId="1" xfId="1" applyFont="1" applyFill="1" applyBorder="1" applyAlignment="1" applyProtection="1">
      <alignment vertical="center"/>
      <protection locked="0"/>
    </xf>
    <xf numFmtId="165" fontId="8" fillId="0" borderId="1" xfId="1" applyFont="1" applyFill="1" applyBorder="1" applyAlignment="1">
      <alignment horizontal="right" vertical="center"/>
    </xf>
    <xf numFmtId="49" fontId="3" fillId="5" borderId="1" xfId="0" applyNumberFormat="1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>
      <alignment horizontal="left" wrapText="1"/>
    </xf>
    <xf numFmtId="165" fontId="3" fillId="5" borderId="1" xfId="1" applyFont="1" applyFill="1" applyBorder="1" applyAlignment="1" applyProtection="1">
      <alignment horizontal="right" vertical="center"/>
      <protection locked="0"/>
    </xf>
    <xf numFmtId="165" fontId="3" fillId="5" borderId="1" xfId="1" applyFont="1" applyFill="1" applyBorder="1" applyAlignment="1" applyProtection="1">
      <alignment vertical="center"/>
      <protection locked="0"/>
    </xf>
    <xf numFmtId="165" fontId="3" fillId="5" borderId="1" xfId="1" applyFont="1" applyFill="1" applyBorder="1" applyAlignment="1">
      <alignment horizontal="right" vertical="center"/>
    </xf>
    <xf numFmtId="49" fontId="14" fillId="0" borderId="1" xfId="0" applyNumberFormat="1" applyFont="1" applyBorder="1" applyAlignment="1">
      <alignment horizontal="center" vertical="center"/>
    </xf>
    <xf numFmtId="165" fontId="8" fillId="0" borderId="1" xfId="1" applyFont="1" applyFill="1" applyBorder="1" applyAlignment="1" applyProtection="1">
      <alignment horizontal="right" vertical="center"/>
      <protection locked="0"/>
    </xf>
    <xf numFmtId="0" fontId="8" fillId="5" borderId="1" xfId="0" applyFont="1" applyFill="1" applyBorder="1" applyAlignment="1" applyProtection="1">
      <alignment vertical="center" wrapText="1"/>
      <protection locked="0"/>
    </xf>
    <xf numFmtId="0" fontId="20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43" fontId="8" fillId="0" borderId="1" xfId="0" applyNumberFormat="1" applyFont="1" applyFill="1" applyBorder="1"/>
    <xf numFmtId="43" fontId="8" fillId="5" borderId="1" xfId="0" applyNumberFormat="1" applyFont="1" applyFill="1" applyBorder="1"/>
    <xf numFmtId="49" fontId="8" fillId="20" borderId="1" xfId="0" applyNumberFormat="1" applyFont="1" applyFill="1" applyBorder="1" applyAlignment="1" applyProtection="1">
      <alignment horizontal="center" vertical="center"/>
      <protection locked="0"/>
    </xf>
    <xf numFmtId="0" fontId="8" fillId="20" borderId="1" xfId="0" applyFont="1" applyFill="1" applyBorder="1" applyAlignment="1" applyProtection="1">
      <alignment vertical="center"/>
      <protection locked="0"/>
    </xf>
    <xf numFmtId="0" fontId="8" fillId="20" borderId="1" xfId="0" applyFont="1" applyFill="1" applyBorder="1" applyAlignment="1" applyProtection="1">
      <alignment horizontal="center" vertical="center"/>
      <protection locked="0"/>
    </xf>
    <xf numFmtId="4" fontId="8" fillId="20" borderId="1" xfId="0" applyNumberFormat="1" applyFont="1" applyFill="1" applyBorder="1" applyAlignment="1" applyProtection="1">
      <alignment horizontal="right" vertical="center"/>
      <protection locked="0"/>
    </xf>
    <xf numFmtId="4" fontId="8" fillId="20" borderId="1" xfId="0" applyNumberFormat="1" applyFont="1" applyFill="1" applyBorder="1" applyAlignment="1" applyProtection="1">
      <alignment vertical="center"/>
      <protection locked="0"/>
    </xf>
    <xf numFmtId="4" fontId="8" fillId="20" borderId="1" xfId="0" applyNumberFormat="1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9" fontId="3" fillId="20" borderId="1" xfId="0" applyNumberFormat="1" applyFont="1" applyFill="1" applyBorder="1" applyAlignment="1" applyProtection="1">
      <alignment horizontal="center" vertical="center"/>
      <protection locked="0"/>
    </xf>
    <xf numFmtId="0" fontId="3" fillId="20" borderId="1" xfId="0" applyFont="1" applyFill="1" applyBorder="1" applyAlignment="1" applyProtection="1">
      <alignment horizontal="center" vertical="center"/>
      <protection locked="0"/>
    </xf>
    <xf numFmtId="0" fontId="8" fillId="20" borderId="1" xfId="0" applyFont="1" applyFill="1" applyBorder="1" applyAlignment="1">
      <alignment horizontal="left" wrapText="1"/>
    </xf>
    <xf numFmtId="165" fontId="3" fillId="20" borderId="1" xfId="1" applyFont="1" applyFill="1" applyBorder="1" applyAlignment="1" applyProtection="1">
      <alignment horizontal="right" vertical="center"/>
      <protection locked="0"/>
    </xf>
    <xf numFmtId="165" fontId="3" fillId="20" borderId="1" xfId="1" applyFont="1" applyFill="1" applyBorder="1" applyAlignment="1" applyProtection="1">
      <alignment vertical="center"/>
      <protection locked="0"/>
    </xf>
    <xf numFmtId="165" fontId="3" fillId="20" borderId="1" xfId="1" applyFont="1" applyFill="1" applyBorder="1" applyAlignment="1">
      <alignment horizontal="right" vertical="center"/>
    </xf>
    <xf numFmtId="0" fontId="8" fillId="20" borderId="1" xfId="0" applyFont="1" applyFill="1" applyBorder="1" applyAlignment="1" applyProtection="1">
      <alignment vertical="center" wrapText="1"/>
      <protection locked="0"/>
    </xf>
    <xf numFmtId="49" fontId="8" fillId="3" borderId="1" xfId="0" applyNumberFormat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right" vertical="center"/>
      <protection locked="0"/>
    </xf>
    <xf numFmtId="4" fontId="8" fillId="3" borderId="1" xfId="0" applyNumberFormat="1" applyFont="1" applyFill="1" applyBorder="1" applyAlignment="1" applyProtection="1">
      <alignment vertical="center"/>
      <protection locked="0"/>
    </xf>
    <xf numFmtId="4" fontId="8" fillId="3" borderId="1" xfId="0" applyNumberFormat="1" applyFont="1" applyFill="1" applyBorder="1" applyAlignment="1">
      <alignment horizontal="right" vertical="center"/>
    </xf>
    <xf numFmtId="49" fontId="3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vertical="center" wrapText="1"/>
      <protection locked="0"/>
    </xf>
    <xf numFmtId="4" fontId="3" fillId="18" borderId="1" xfId="0" applyNumberFormat="1" applyFont="1" applyFill="1" applyBorder="1" applyAlignment="1" applyProtection="1">
      <alignment horizontal="right"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>
      <alignment horizontal="right" vertical="center"/>
    </xf>
    <xf numFmtId="4" fontId="8" fillId="18" borderId="1" xfId="0" applyNumberFormat="1" applyFont="1" applyFill="1" applyBorder="1" applyAlignment="1" applyProtection="1">
      <alignment horizontal="right" vertical="center"/>
      <protection locked="0"/>
    </xf>
    <xf numFmtId="4" fontId="8" fillId="0" borderId="1" xfId="0" applyNumberFormat="1" applyFont="1" applyFill="1" applyBorder="1" applyAlignment="1" applyProtection="1">
      <alignment vertical="center"/>
      <protection locked="0"/>
    </xf>
    <xf numFmtId="4" fontId="8" fillId="0" borderId="1" xfId="0" applyNumberFormat="1" applyFont="1" applyFill="1" applyBorder="1" applyAlignment="1">
      <alignment horizontal="right" vertical="center"/>
    </xf>
    <xf numFmtId="165" fontId="3" fillId="18" borderId="1" xfId="1" applyFont="1" applyFill="1" applyBorder="1" applyAlignment="1" applyProtection="1">
      <alignment horizontal="right" vertical="center"/>
      <protection locked="0"/>
    </xf>
    <xf numFmtId="0" fontId="15" fillId="0" borderId="1" xfId="0" applyFont="1" applyBorder="1" applyAlignment="1">
      <alignment horizontal="left" wrapText="1"/>
    </xf>
    <xf numFmtId="0" fontId="44" fillId="0" borderId="75" xfId="0" applyFont="1" applyFill="1" applyBorder="1" applyAlignment="1">
      <alignment horizontal="left" vertical="center"/>
    </xf>
    <xf numFmtId="0" fontId="38" fillId="0" borderId="75" xfId="0" applyFont="1" applyBorder="1"/>
    <xf numFmtId="43" fontId="0" fillId="0" borderId="0" xfId="0" applyNumberFormat="1"/>
    <xf numFmtId="0" fontId="11" fillId="0" borderId="79" xfId="0" applyFont="1" applyBorder="1" applyAlignment="1">
      <alignment vertical="top" wrapText="1"/>
    </xf>
    <xf numFmtId="0" fontId="11" fillId="0" borderId="38" xfId="0" applyFont="1" applyBorder="1" applyAlignment="1">
      <alignment vertical="top" wrapText="1"/>
    </xf>
    <xf numFmtId="0" fontId="11" fillId="0" borderId="80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0" fontId="18" fillId="0" borderId="80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wrapText="1"/>
    </xf>
    <xf numFmtId="0" fontId="17" fillId="0" borderId="3" xfId="0" applyFont="1" applyFill="1" applyBorder="1" applyAlignment="1">
      <alignment wrapText="1"/>
    </xf>
    <xf numFmtId="0" fontId="17" fillId="0" borderId="29" xfId="0" applyFont="1" applyFill="1" applyBorder="1" applyAlignment="1">
      <alignment wrapText="1"/>
    </xf>
    <xf numFmtId="4" fontId="3" fillId="16" borderId="1" xfId="0" applyNumberFormat="1" applyFont="1" applyFill="1" applyBorder="1" applyAlignment="1" applyProtection="1">
      <alignment horizontal="right" vertical="center"/>
      <protection locked="0"/>
    </xf>
    <xf numFmtId="4" fontId="8" fillId="16" borderId="1" xfId="0" applyNumberFormat="1" applyFont="1" applyFill="1" applyBorder="1" applyAlignment="1" applyProtection="1">
      <alignment horizontal="right" vertical="center"/>
      <protection locked="0"/>
    </xf>
    <xf numFmtId="4" fontId="3" fillId="7" borderId="8" xfId="10" applyNumberFormat="1" applyFont="1" applyFill="1" applyBorder="1" applyAlignment="1">
      <alignment horizontal="center" vertical="center"/>
    </xf>
    <xf numFmtId="4" fontId="3" fillId="2" borderId="6" xfId="10" applyNumberFormat="1" applyFont="1" applyFill="1" applyBorder="1" applyAlignment="1">
      <alignment horizontal="center" vertical="center"/>
    </xf>
    <xf numFmtId="4" fontId="8" fillId="7" borderId="0" xfId="0" applyNumberFormat="1" applyFont="1" applyFill="1" applyBorder="1" applyAlignment="1" applyProtection="1">
      <alignment vertical="center"/>
      <protection locked="0"/>
    </xf>
    <xf numFmtId="0" fontId="8" fillId="7" borderId="0" xfId="0" applyFont="1" applyFill="1" applyBorder="1" applyAlignment="1">
      <alignment vertical="center"/>
    </xf>
    <xf numFmtId="0" fontId="8" fillId="7" borderId="0" xfId="0" applyFont="1" applyFill="1" applyBorder="1" applyAlignment="1" applyProtection="1">
      <alignment vertical="center"/>
      <protection locked="0"/>
    </xf>
    <xf numFmtId="4" fontId="8" fillId="7" borderId="0" xfId="0" applyNumberFormat="1" applyFont="1" applyFill="1" applyBorder="1" applyAlignment="1" applyProtection="1">
      <alignment horizontal="left" vertical="center"/>
      <protection locked="0"/>
    </xf>
    <xf numFmtId="0" fontId="8" fillId="7" borderId="0" xfId="0" applyFont="1" applyFill="1" applyBorder="1" applyAlignment="1" applyProtection="1">
      <alignment horizontal="left" vertical="center"/>
      <protection locked="0"/>
    </xf>
    <xf numFmtId="0" fontId="8" fillId="7" borderId="48" xfId="0" applyFont="1" applyFill="1" applyBorder="1" applyAlignment="1" applyProtection="1">
      <alignment horizontal="right" vertical="center"/>
      <protection locked="0"/>
    </xf>
    <xf numFmtId="4" fontId="3" fillId="0" borderId="6" xfId="2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 wrapText="1"/>
    </xf>
    <xf numFmtId="165" fontId="42" fillId="17" borderId="77" xfId="1" applyFont="1" applyFill="1" applyBorder="1" applyAlignment="1" applyProtection="1">
      <alignment horizontal="center" vertical="center"/>
      <protection locked="0"/>
    </xf>
    <xf numFmtId="165" fontId="42" fillId="17" borderId="19" xfId="1" applyFont="1" applyFill="1" applyBorder="1" applyAlignment="1" applyProtection="1">
      <alignment horizontal="center" vertical="center"/>
      <protection locked="0"/>
    </xf>
    <xf numFmtId="165" fontId="42" fillId="17" borderId="20" xfId="1" applyFont="1" applyFill="1" applyBorder="1" applyAlignment="1" applyProtection="1">
      <alignment horizontal="center" vertical="center"/>
      <protection locked="0"/>
    </xf>
    <xf numFmtId="0" fontId="41" fillId="16" borderId="2" xfId="0" applyFont="1" applyFill="1" applyBorder="1" applyAlignment="1">
      <alignment horizontal="center" vertical="center" wrapText="1"/>
    </xf>
    <xf numFmtId="0" fontId="41" fillId="16" borderId="29" xfId="0" applyFont="1" applyFill="1" applyBorder="1" applyAlignment="1">
      <alignment horizontal="center" vertical="center" wrapText="1"/>
    </xf>
    <xf numFmtId="0" fontId="41" fillId="16" borderId="3" xfId="0" applyFont="1" applyFill="1" applyBorder="1" applyAlignment="1">
      <alignment horizontal="center" vertical="center" wrapText="1"/>
    </xf>
    <xf numFmtId="0" fontId="41" fillId="18" borderId="3" xfId="0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27" xfId="0" applyFont="1" applyBorder="1" applyAlignment="1">
      <alignment horizontal="left" vertical="top" wrapText="1"/>
    </xf>
    <xf numFmtId="0" fontId="3" fillId="0" borderId="49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2" fillId="0" borderId="34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2" fillId="0" borderId="35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 vertical="top" wrapText="1"/>
    </xf>
    <xf numFmtId="49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 wrapText="1"/>
    </xf>
    <xf numFmtId="0" fontId="3" fillId="9" borderId="41" xfId="0" applyFont="1" applyFill="1" applyBorder="1" applyAlignment="1">
      <alignment horizontal="center" vertical="center" wrapText="1"/>
    </xf>
    <xf numFmtId="0" fontId="3" fillId="9" borderId="42" xfId="0" applyFont="1" applyFill="1" applyBorder="1" applyAlignment="1">
      <alignment horizontal="center" vertical="center" wrapText="1"/>
    </xf>
    <xf numFmtId="0" fontId="0" fillId="0" borderId="42" xfId="0" applyBorder="1"/>
    <xf numFmtId="0" fontId="8" fillId="10" borderId="8" xfId="0" applyFont="1" applyFill="1" applyBorder="1" applyAlignment="1">
      <alignment horizontal="center" vertical="center" wrapText="1"/>
    </xf>
    <xf numFmtId="0" fontId="8" fillId="10" borderId="40" xfId="0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center" vertical="center" wrapText="1"/>
    </xf>
    <xf numFmtId="0" fontId="8" fillId="10" borderId="39" xfId="0" applyFont="1" applyFill="1" applyBorder="1" applyAlignment="1">
      <alignment horizontal="center" vertical="center" wrapText="1"/>
    </xf>
    <xf numFmtId="0" fontId="41" fillId="16" borderId="2" xfId="0" applyFont="1" applyFill="1" applyBorder="1" applyAlignment="1">
      <alignment horizontal="center" vertical="center"/>
    </xf>
    <xf numFmtId="0" fontId="41" fillId="16" borderId="3" xfId="0" applyFont="1" applyFill="1" applyBorder="1" applyAlignment="1">
      <alignment horizontal="center" vertical="center"/>
    </xf>
    <xf numFmtId="0" fontId="41" fillId="16" borderId="2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166" fontId="8" fillId="8" borderId="41" xfId="0" applyNumberFormat="1" applyFont="1" applyFill="1" applyBorder="1" applyAlignment="1">
      <alignment horizontal="center" vertical="center"/>
    </xf>
    <xf numFmtId="166" fontId="8" fillId="8" borderId="42" xfId="0" applyNumberFormat="1" applyFont="1" applyFill="1" applyBorder="1" applyAlignment="1">
      <alignment horizontal="center" vertical="center"/>
    </xf>
    <xf numFmtId="0" fontId="7" fillId="21" borderId="2" xfId="0" applyFont="1" applyFill="1" applyBorder="1" applyAlignment="1">
      <alignment horizontal="center" vertical="center" wrapText="1"/>
    </xf>
    <xf numFmtId="0" fontId="7" fillId="21" borderId="3" xfId="0" applyFont="1" applyFill="1" applyBorder="1" applyAlignment="1">
      <alignment horizontal="center" vertical="center" wrapText="1"/>
    </xf>
    <xf numFmtId="0" fontId="7" fillId="21" borderId="29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5" fillId="5" borderId="30" xfId="0" applyFont="1" applyFill="1" applyBorder="1" applyAlignment="1">
      <alignment horizontal="center" vertical="center" wrapText="1" shrinkToFit="1"/>
    </xf>
    <xf numFmtId="0" fontId="25" fillId="5" borderId="31" xfId="0" applyFont="1" applyFill="1" applyBorder="1" applyAlignment="1">
      <alignment horizontal="center" vertical="center" wrapText="1" shrinkToFit="1"/>
    </xf>
    <xf numFmtId="0" fontId="25" fillId="5" borderId="38" xfId="0" applyFont="1" applyFill="1" applyBorder="1" applyAlignment="1">
      <alignment horizontal="center" vertical="center" wrapText="1" shrinkToFit="1"/>
    </xf>
    <xf numFmtId="0" fontId="5" fillId="5" borderId="44" xfId="0" applyFont="1" applyFill="1" applyBorder="1" applyAlignment="1">
      <alignment horizontal="left"/>
    </xf>
    <xf numFmtId="0" fontId="5" fillId="5" borderId="4" xfId="0" applyFont="1" applyFill="1" applyBorder="1" applyAlignment="1">
      <alignment horizontal="left"/>
    </xf>
    <xf numFmtId="0" fontId="5" fillId="5" borderId="47" xfId="0" applyFont="1" applyFill="1" applyBorder="1" applyAlignment="1">
      <alignment horizontal="left"/>
    </xf>
    <xf numFmtId="0" fontId="5" fillId="5" borderId="32" xfId="0" applyFont="1" applyFill="1" applyBorder="1" applyAlignment="1">
      <alignment horizontal="center" wrapText="1"/>
    </xf>
    <xf numFmtId="0" fontId="5" fillId="5" borderId="33" xfId="0" applyFont="1" applyFill="1" applyBorder="1" applyAlignment="1">
      <alignment horizontal="center" wrapText="1"/>
    </xf>
    <xf numFmtId="0" fontId="5" fillId="5" borderId="34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3" fillId="12" borderId="0" xfId="0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4" fillId="0" borderId="64" xfId="0" applyFont="1" applyBorder="1" applyAlignment="1">
      <alignment horizontal="center" vertical="center" wrapText="1"/>
    </xf>
    <xf numFmtId="0" fontId="35" fillId="0" borderId="65" xfId="0" applyFont="1" applyBorder="1" applyAlignment="1">
      <alignment horizontal="center" vertical="center" wrapText="1"/>
    </xf>
    <xf numFmtId="0" fontId="35" fillId="0" borderId="66" xfId="0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28" fillId="0" borderId="6" xfId="0" applyFont="1" applyBorder="1" applyAlignment="1">
      <alignment horizontal="left" vertical="top" wrapText="1"/>
    </xf>
    <xf numFmtId="0" fontId="28" fillId="0" borderId="7" xfId="0" applyFont="1" applyBorder="1" applyAlignment="1">
      <alignment horizontal="left" vertical="top" wrapText="1"/>
    </xf>
    <xf numFmtId="0" fontId="28" fillId="0" borderId="39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8" fillId="0" borderId="29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left" vertical="top" wrapText="1"/>
    </xf>
    <xf numFmtId="0" fontId="28" fillId="0" borderId="4" xfId="0" applyFont="1" applyBorder="1" applyAlignment="1">
      <alignment horizontal="left" vertical="top" wrapText="1"/>
    </xf>
    <xf numFmtId="0" fontId="28" fillId="0" borderId="40" xfId="0" applyFont="1" applyBorder="1" applyAlignment="1">
      <alignment horizontal="left" vertical="top" wrapText="1"/>
    </xf>
    <xf numFmtId="0" fontId="28" fillId="0" borderId="5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left" vertical="top" wrapText="1"/>
    </xf>
    <xf numFmtId="0" fontId="28" fillId="0" borderId="48" xfId="0" applyFont="1" applyBorder="1" applyAlignment="1">
      <alignment horizontal="left" vertical="top" wrapText="1"/>
    </xf>
    <xf numFmtId="0" fontId="28" fillId="0" borderId="11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2" fillId="0" borderId="18" xfId="0" applyFont="1" applyBorder="1" applyAlignment="1">
      <alignment vertical="top" wrapText="1"/>
    </xf>
    <xf numFmtId="0" fontId="28" fillId="0" borderId="52" xfId="0" applyFont="1" applyBorder="1" applyAlignment="1">
      <alignment vertical="top" wrapText="1"/>
    </xf>
    <xf numFmtId="0" fontId="22" fillId="0" borderId="53" xfId="0" applyFont="1" applyBorder="1" applyAlignment="1">
      <alignment vertical="top" wrapText="1"/>
    </xf>
    <xf numFmtId="0" fontId="29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0" fontId="29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7" fillId="0" borderId="0" xfId="0" applyFont="1" applyAlignment="1">
      <alignment horizontal="center" vertical="top" wrapText="1"/>
    </xf>
    <xf numFmtId="49" fontId="22" fillId="0" borderId="0" xfId="0" applyNumberFormat="1" applyFont="1" applyFill="1" applyBorder="1" applyAlignment="1"/>
    <xf numFmtId="165" fontId="4" fillId="0" borderId="0" xfId="1" applyFont="1" applyFill="1" applyBorder="1" applyAlignment="1">
      <alignment horizontal="center" vertical="center"/>
    </xf>
    <xf numFmtId="165" fontId="4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</cellXfs>
  <cellStyles count="11">
    <cellStyle name="0,0_x000d_&#10;NA_x000d_&#10; 2" xfId="5"/>
    <cellStyle name="Estilo 1" xfId="3"/>
    <cellStyle name="Moeda" xfId="10" builtinId="4"/>
    <cellStyle name="Normal" xfId="0" builtinId="0"/>
    <cellStyle name="Normal 2" xfId="4"/>
    <cellStyle name="Normal 3" xfId="9"/>
    <cellStyle name="Porcentagem" xfId="2" builtinId="5"/>
    <cellStyle name="Porcentagem 2" xfId="6"/>
    <cellStyle name="Separador de milhares" xfId="1" builtinId="3"/>
    <cellStyle name="Separador de milhares 3" xfId="8"/>
    <cellStyle name="Vírgula 2" xfId="7"/>
  </cellStyles>
  <dxfs count="0"/>
  <tableStyles count="0" defaultTableStyle="TableStyleMedium2" defaultPivotStyle="PivotStyleLight16"/>
  <colors>
    <mruColors>
      <color rgb="FFFFFF00"/>
      <color rgb="FFFFFF66"/>
      <color rgb="FFFFFF99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12</xdr:row>
      <xdr:rowOff>19050</xdr:rowOff>
    </xdr:from>
    <xdr:to>
      <xdr:col>3</xdr:col>
      <xdr:colOff>104775</xdr:colOff>
      <xdr:row>14</xdr:row>
      <xdr:rowOff>9525</xdr:rowOff>
    </xdr:to>
    <xdr:pic>
      <xdr:nvPicPr>
        <xdr:cNvPr id="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52400" y="3571875"/>
          <a:ext cx="29527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15</xdr:row>
      <xdr:rowOff>9525</xdr:rowOff>
    </xdr:from>
    <xdr:to>
      <xdr:col>3</xdr:col>
      <xdr:colOff>95250</xdr:colOff>
      <xdr:row>22</xdr:row>
      <xdr:rowOff>85725</xdr:rowOff>
    </xdr:to>
    <xdr:sp macro="" textlink="">
      <xdr:nvSpPr>
        <xdr:cNvPr id="3" name="Text Box 11"/>
        <xdr:cNvSpPr txBox="1">
          <a:spLocks noChangeArrowheads="1"/>
        </xdr:cNvSpPr>
      </xdr:nvSpPr>
      <xdr:spPr bwMode="auto">
        <a:xfrm>
          <a:off x="85725" y="4133850"/>
          <a:ext cx="3009900" cy="1409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Onde: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AC: taxa de administração central;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S: taxa de seguros;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R: taxa de riscos;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G: taxa de garantias;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DF: taxa de despesas financeiras;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L: taxa de lucro/remuneração;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I: taxa de incidência de impostos (PIS, COFINS, ISS).</a:t>
          </a:r>
          <a:endParaRPr lang="pt-BR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3</xdr:col>
      <xdr:colOff>257175</xdr:colOff>
      <xdr:row>13</xdr:row>
      <xdr:rowOff>57150</xdr:rowOff>
    </xdr:from>
    <xdr:to>
      <xdr:col>5</xdr:col>
      <xdr:colOff>647700</xdr:colOff>
      <xdr:row>22</xdr:row>
      <xdr:rowOff>95250</xdr:rowOff>
    </xdr:to>
    <xdr:sp macro="" textlink="">
      <xdr:nvSpPr>
        <xdr:cNvPr id="4" name="Text Box 24"/>
        <xdr:cNvSpPr txBox="1">
          <a:spLocks noChangeArrowheads="1"/>
        </xdr:cNvSpPr>
      </xdr:nvSpPr>
      <xdr:spPr bwMode="auto">
        <a:xfrm>
          <a:off x="3257550" y="3800475"/>
          <a:ext cx="2085975" cy="1752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u="none" strike="noStrike" baseline="0">
              <a:solidFill>
                <a:srgbClr val="FF0000"/>
              </a:solidFill>
              <a:latin typeface="Calibri"/>
            </a:rPr>
            <a:t>(*) - Foi publicada, em 19/07/2013, a Lei nr. 12.844/2013, alterando os setores a serem beneficiados com o regime de desoneração da folha de pagamento.  Para empresas do setor de Construção de Rodovias e Ferrovias Civil deverão ser acrescentados 2 % no item "Tributos". A desoneração recai sobre a empresa, e não sobre o tipo de obra, portanto deve-se considerar qual a classificação da empresa conforme seu contrato social e atividade de maior renda.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11"/>
  <sheetViews>
    <sheetView showZeros="0" topLeftCell="D97" zoomScale="130" zoomScaleNormal="130" zoomScaleSheetLayoutView="100" workbookViewId="0">
      <selection activeCell="D110" sqref="D110:D111"/>
    </sheetView>
  </sheetViews>
  <sheetFormatPr defaultRowHeight="15"/>
  <cols>
    <col min="1" max="1" width="7.140625" style="8" customWidth="1"/>
    <col min="2" max="2" width="12.140625" style="8" customWidth="1"/>
    <col min="3" max="3" width="13.140625" style="8" customWidth="1"/>
    <col min="4" max="4" width="72.42578125" style="9" customWidth="1"/>
    <col min="5" max="5" width="10.140625" style="34" customWidth="1"/>
    <col min="6" max="6" width="14.42578125" style="15" customWidth="1"/>
    <col min="7" max="7" width="11.28515625" style="4" customWidth="1"/>
    <col min="8" max="8" width="16.5703125" style="16" customWidth="1"/>
    <col min="9" max="9" width="21" style="14" customWidth="1"/>
    <col min="10" max="10" width="18" style="14" customWidth="1"/>
    <col min="11" max="11" width="19" style="10" customWidth="1"/>
    <col min="12" max="12" width="18.5703125" style="3" customWidth="1"/>
    <col min="13" max="17" width="10.42578125" style="4" bestFit="1" customWidth="1"/>
    <col min="18" max="18" width="11.42578125" style="3" bestFit="1" customWidth="1"/>
    <col min="19" max="19" width="10.42578125" style="4" bestFit="1" customWidth="1"/>
    <col min="20" max="22" width="11.140625" style="4" bestFit="1" customWidth="1"/>
    <col min="23" max="23" width="10.42578125" style="4" bestFit="1" customWidth="1"/>
    <col min="24" max="25" width="11.42578125" style="4" bestFit="1" customWidth="1"/>
    <col min="26" max="26" width="11.5703125" style="4" bestFit="1" customWidth="1"/>
    <col min="27" max="29" width="11.140625" style="4" bestFit="1" customWidth="1"/>
    <col min="30" max="36" width="11.5703125" style="4" bestFit="1" customWidth="1"/>
    <col min="37" max="37" width="10.42578125" style="4" bestFit="1" customWidth="1"/>
    <col min="38" max="38" width="12.7109375" style="3" bestFit="1" customWidth="1"/>
    <col min="39" max="16384" width="9.140625" style="3"/>
  </cols>
  <sheetData>
    <row r="1" spans="1:37" ht="15.75">
      <c r="A1" s="181" t="s">
        <v>162</v>
      </c>
      <c r="B1" s="182"/>
      <c r="C1" s="182"/>
      <c r="D1" s="183" t="s">
        <v>163</v>
      </c>
      <c r="E1" s="182"/>
      <c r="F1" s="182"/>
      <c r="G1" s="182"/>
      <c r="H1" s="182"/>
      <c r="I1" s="21"/>
      <c r="J1" s="21"/>
    </row>
    <row r="2" spans="1:37" ht="6.75" customHeight="1">
      <c r="A2" s="20"/>
      <c r="B2" s="20"/>
      <c r="C2" s="20"/>
      <c r="D2" s="20"/>
      <c r="E2" s="20"/>
      <c r="F2" s="14"/>
      <c r="G2" s="20"/>
      <c r="H2" s="22"/>
    </row>
    <row r="3" spans="1:37" ht="17.25" customHeight="1">
      <c r="A3" s="23" t="s">
        <v>164</v>
      </c>
      <c r="B3" s="24"/>
      <c r="C3" s="24"/>
      <c r="D3" s="24"/>
      <c r="E3" s="31" t="s">
        <v>209</v>
      </c>
      <c r="F3" s="24"/>
      <c r="G3" s="24"/>
      <c r="H3" s="24"/>
      <c r="I3" s="18"/>
      <c r="J3" s="18"/>
    </row>
    <row r="4" spans="1:37" ht="18.75" customHeight="1">
      <c r="A4" s="27" t="s">
        <v>96</v>
      </c>
      <c r="B4" s="32"/>
      <c r="C4" s="32"/>
      <c r="D4" s="25"/>
      <c r="E4" s="28" t="s">
        <v>160</v>
      </c>
      <c r="F4" s="30"/>
      <c r="G4" s="26"/>
      <c r="H4" s="29"/>
      <c r="I4" s="18"/>
      <c r="J4" s="18"/>
    </row>
    <row r="5" spans="1:37" ht="17.25" customHeight="1">
      <c r="A5" s="35" t="s">
        <v>37</v>
      </c>
      <c r="B5" s="33"/>
      <c r="C5" s="38"/>
      <c r="D5" s="38" t="s">
        <v>161</v>
      </c>
      <c r="E5" s="36" t="s">
        <v>19</v>
      </c>
      <c r="F5" s="37"/>
      <c r="G5" s="37"/>
      <c r="H5" s="37"/>
      <c r="I5" s="18"/>
    </row>
    <row r="6" spans="1:37" ht="7.5" customHeight="1">
      <c r="A6" s="323"/>
      <c r="B6" s="323"/>
      <c r="C6" s="323"/>
      <c r="D6" s="323"/>
      <c r="E6" s="323"/>
      <c r="F6" s="323"/>
      <c r="G6" s="323"/>
      <c r="H6" s="323"/>
      <c r="K6" s="12"/>
      <c r="M6" s="3"/>
      <c r="N6" s="3"/>
      <c r="O6" s="3"/>
      <c r="P6" s="3"/>
      <c r="Q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s="1" customFormat="1" ht="39" customHeight="1">
      <c r="A7" s="54" t="s">
        <v>9</v>
      </c>
      <c r="B7" s="55" t="s">
        <v>32</v>
      </c>
      <c r="C7" s="55" t="s">
        <v>33</v>
      </c>
      <c r="D7" s="55" t="s">
        <v>34</v>
      </c>
      <c r="E7" s="56" t="s">
        <v>8</v>
      </c>
      <c r="F7" s="57" t="s">
        <v>7</v>
      </c>
      <c r="G7" s="58" t="s">
        <v>36</v>
      </c>
      <c r="H7" s="58" t="s">
        <v>35</v>
      </c>
      <c r="I7" s="19"/>
      <c r="J7" s="19"/>
      <c r="K7" s="11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6"/>
      <c r="Y7" s="2"/>
      <c r="Z7" s="5">
        <v>1</v>
      </c>
      <c r="AA7" s="5">
        <v>2</v>
      </c>
      <c r="AB7" s="5">
        <v>3</v>
      </c>
      <c r="AC7" s="5">
        <v>4</v>
      </c>
      <c r="AD7" s="5">
        <v>5</v>
      </c>
      <c r="AE7" s="5">
        <v>6</v>
      </c>
      <c r="AF7" s="5">
        <v>7</v>
      </c>
      <c r="AG7" s="5">
        <v>8</v>
      </c>
      <c r="AH7" s="5">
        <v>9</v>
      </c>
      <c r="AI7" s="5">
        <v>10</v>
      </c>
      <c r="AJ7" s="5">
        <v>11</v>
      </c>
      <c r="AK7" s="5">
        <v>12</v>
      </c>
    </row>
    <row r="8" spans="1:37" s="1" customFormat="1" ht="30" customHeight="1">
      <c r="A8" s="333" t="s">
        <v>165</v>
      </c>
      <c r="B8" s="333"/>
      <c r="C8" s="333"/>
      <c r="D8" s="333"/>
      <c r="E8" s="333"/>
      <c r="F8" s="333"/>
      <c r="G8" s="333" t="s">
        <v>211</v>
      </c>
      <c r="H8" s="333"/>
      <c r="I8" s="19"/>
      <c r="J8" s="19"/>
      <c r="K8" s="11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6"/>
      <c r="Y8" s="2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</row>
    <row r="9" spans="1:37" s="1" customFormat="1">
      <c r="A9" s="285" t="s">
        <v>5</v>
      </c>
      <c r="B9" s="285"/>
      <c r="C9" s="285"/>
      <c r="D9" s="286" t="s">
        <v>0</v>
      </c>
      <c r="E9" s="287"/>
      <c r="F9" s="288"/>
      <c r="G9" s="289"/>
      <c r="H9" s="290"/>
      <c r="I9" s="18"/>
      <c r="J9" s="18"/>
      <c r="K9" s="11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6"/>
      <c r="Y9" s="2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</row>
    <row r="10" spans="1:37" s="1" customFormat="1">
      <c r="A10" s="236" t="s">
        <v>4</v>
      </c>
      <c r="B10" s="237" t="s">
        <v>17</v>
      </c>
      <c r="C10" s="291" t="s">
        <v>21</v>
      </c>
      <c r="D10" s="292" t="s">
        <v>166</v>
      </c>
      <c r="E10" s="237" t="s">
        <v>12</v>
      </c>
      <c r="F10" s="293">
        <v>6</v>
      </c>
      <c r="G10" s="294">
        <v>323.45</v>
      </c>
      <c r="H10" s="295">
        <f>ROUND(F10*G10,2)</f>
        <v>1940.7</v>
      </c>
      <c r="I10" s="180"/>
      <c r="J10" s="13"/>
      <c r="K10" s="11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6"/>
      <c r="Y10" s="2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</row>
    <row r="11" spans="1:37" s="1" customFormat="1" ht="15" customHeight="1">
      <c r="A11" s="236"/>
      <c r="B11" s="237"/>
      <c r="C11" s="291"/>
      <c r="D11" s="252" t="s">
        <v>20</v>
      </c>
      <c r="E11" s="253"/>
      <c r="F11" s="296"/>
      <c r="G11" s="297"/>
      <c r="H11" s="298">
        <f>H10</f>
        <v>1940.7</v>
      </c>
      <c r="I11" s="180"/>
      <c r="J11" s="61"/>
      <c r="K11" s="11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6"/>
      <c r="Y11" s="2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pans="1:37" s="1" customFormat="1">
      <c r="A12" s="285" t="s">
        <v>3</v>
      </c>
      <c r="B12" s="285"/>
      <c r="C12" s="285"/>
      <c r="D12" s="286" t="s">
        <v>16</v>
      </c>
      <c r="E12" s="287"/>
      <c r="F12" s="288"/>
      <c r="G12" s="289"/>
      <c r="H12" s="290"/>
      <c r="I12" s="180"/>
      <c r="J12" s="18"/>
      <c r="K12" s="11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6"/>
      <c r="Y12" s="2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</row>
    <row r="13" spans="1:37" s="1" customFormat="1" ht="15.75" customHeight="1">
      <c r="A13" s="236" t="s">
        <v>29</v>
      </c>
      <c r="B13" s="237" t="s">
        <v>17</v>
      </c>
      <c r="C13" s="238" t="s">
        <v>26</v>
      </c>
      <c r="D13" s="239" t="s">
        <v>27</v>
      </c>
      <c r="E13" s="237" t="s">
        <v>12</v>
      </c>
      <c r="F13" s="299">
        <v>20312.400000000001</v>
      </c>
      <c r="G13" s="241">
        <v>0.51</v>
      </c>
      <c r="H13" s="242">
        <f>ROUND(F13*G13,2)</f>
        <v>10359.32</v>
      </c>
      <c r="I13" s="180"/>
      <c r="J13" s="13"/>
      <c r="K13" s="11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6"/>
      <c r="Y13" s="2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</row>
    <row r="14" spans="1:37" s="1" customFormat="1" ht="18" customHeight="1">
      <c r="A14" s="236" t="s">
        <v>30</v>
      </c>
      <c r="B14" s="237" t="s">
        <v>17</v>
      </c>
      <c r="C14" s="243" t="s">
        <v>23</v>
      </c>
      <c r="D14" s="239" t="s">
        <v>22</v>
      </c>
      <c r="E14" s="244" t="s">
        <v>12</v>
      </c>
      <c r="F14" s="299">
        <v>20312.400000000001</v>
      </c>
      <c r="G14" s="241">
        <v>3.27</v>
      </c>
      <c r="H14" s="242">
        <f>F14*G14</f>
        <v>66421.54800000001</v>
      </c>
      <c r="I14" s="180"/>
      <c r="J14" s="13"/>
      <c r="K14" s="11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6"/>
      <c r="Y14" s="2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spans="1:37" s="1" customFormat="1" ht="17.25" customHeight="1">
      <c r="A15" s="236" t="s">
        <v>31</v>
      </c>
      <c r="B15" s="237" t="s">
        <v>17</v>
      </c>
      <c r="C15" s="245" t="s">
        <v>24</v>
      </c>
      <c r="D15" s="239" t="s">
        <v>25</v>
      </c>
      <c r="E15" s="244" t="s">
        <v>13</v>
      </c>
      <c r="F15" s="299">
        <v>609.37</v>
      </c>
      <c r="G15" s="241">
        <f>H15/F15</f>
        <v>674.17214500221542</v>
      </c>
      <c r="H15" s="242">
        <v>410820.28</v>
      </c>
      <c r="I15" s="180"/>
      <c r="J15" s="13"/>
      <c r="K15" s="11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6"/>
      <c r="Y15" s="2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37" s="1" customFormat="1" ht="33" customHeight="1">
      <c r="A16" s="236" t="s">
        <v>169</v>
      </c>
      <c r="B16" s="237" t="s">
        <v>28</v>
      </c>
      <c r="C16" s="246" t="s">
        <v>170</v>
      </c>
      <c r="D16" s="247" t="s">
        <v>171</v>
      </c>
      <c r="E16" s="248" t="s">
        <v>172</v>
      </c>
      <c r="F16" s="299">
        <v>6824.97</v>
      </c>
      <c r="G16" s="249">
        <v>0.95</v>
      </c>
      <c r="H16" s="242">
        <f>F16*G16</f>
        <v>6483.7214999999997</v>
      </c>
      <c r="I16" s="18"/>
      <c r="J16" s="18"/>
      <c r="K16" s="11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6"/>
      <c r="Y16" s="2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 spans="1:37" s="1" customFormat="1" ht="33.75" customHeight="1">
      <c r="A17" s="236" t="s">
        <v>173</v>
      </c>
      <c r="B17" s="237" t="s">
        <v>28</v>
      </c>
      <c r="C17" s="250">
        <v>72891</v>
      </c>
      <c r="D17" s="251" t="s">
        <v>174</v>
      </c>
      <c r="E17" s="248" t="s">
        <v>175</v>
      </c>
      <c r="F17" s="299">
        <v>609.37</v>
      </c>
      <c r="G17" s="241">
        <v>4.76</v>
      </c>
      <c r="H17" s="242">
        <f>F17*G17</f>
        <v>2900.6012000000001</v>
      </c>
      <c r="I17" s="18"/>
      <c r="J17" s="18"/>
      <c r="K17" s="10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6"/>
      <c r="Y17" s="2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spans="1:37" s="1" customFormat="1" ht="18.75" customHeight="1">
      <c r="A18" s="236"/>
      <c r="B18" s="236"/>
      <c r="C18" s="236"/>
      <c r="D18" s="252" t="s">
        <v>20</v>
      </c>
      <c r="E18" s="253"/>
      <c r="F18" s="264"/>
      <c r="G18" s="255"/>
      <c r="H18" s="256">
        <f>SUM(H13:H17)</f>
        <v>496985.47070000001</v>
      </c>
      <c r="I18" s="180"/>
      <c r="J18" s="61"/>
      <c r="K18" s="11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6"/>
      <c r="Y18" s="2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</row>
    <row r="19" spans="1:37" ht="25.5">
      <c r="A19" s="257" t="s">
        <v>2</v>
      </c>
      <c r="B19" s="258"/>
      <c r="C19" s="257"/>
      <c r="D19" s="259" t="s">
        <v>54</v>
      </c>
      <c r="E19" s="258"/>
      <c r="F19" s="260"/>
      <c r="G19" s="261"/>
      <c r="H19" s="262">
        <f>ROUND(F19*G19,2)</f>
        <v>0</v>
      </c>
      <c r="I19" s="180"/>
      <c r="J19" s="13"/>
      <c r="K19" s="18"/>
      <c r="L19" s="18"/>
      <c r="R19" s="7"/>
      <c r="S19" s="3"/>
      <c r="T19" s="3"/>
      <c r="U19" s="3"/>
      <c r="V19" s="3"/>
      <c r="W19" s="3"/>
    </row>
    <row r="20" spans="1:37" ht="33.75" customHeight="1">
      <c r="A20" s="236" t="s">
        <v>1</v>
      </c>
      <c r="B20" s="237" t="s">
        <v>28</v>
      </c>
      <c r="C20" s="263">
        <v>72947</v>
      </c>
      <c r="D20" s="251" t="s">
        <v>55</v>
      </c>
      <c r="E20" s="248" t="s">
        <v>15</v>
      </c>
      <c r="F20" s="299">
        <v>69.52</v>
      </c>
      <c r="G20" s="241">
        <v>25.99</v>
      </c>
      <c r="H20" s="242">
        <f>F20*G20</f>
        <v>1806.8247999999999</v>
      </c>
      <c r="I20" s="180"/>
      <c r="J20" s="13"/>
      <c r="K20" s="18"/>
      <c r="L20" s="18"/>
      <c r="R20" s="7"/>
      <c r="S20" s="3"/>
      <c r="T20" s="3"/>
      <c r="U20" s="3"/>
      <c r="V20" s="3"/>
      <c r="W20" s="3"/>
    </row>
    <row r="21" spans="1:37" ht="33.75" customHeight="1">
      <c r="A21" s="236" t="s">
        <v>56</v>
      </c>
      <c r="B21" s="237" t="s">
        <v>28</v>
      </c>
      <c r="C21" s="263">
        <v>72947</v>
      </c>
      <c r="D21" s="251" t="s">
        <v>57</v>
      </c>
      <c r="E21" s="248" t="s">
        <v>15</v>
      </c>
      <c r="F21" s="299">
        <v>172.8</v>
      </c>
      <c r="G21" s="241">
        <v>25.99</v>
      </c>
      <c r="H21" s="242">
        <f>F21*G21</f>
        <v>4491.0720000000001</v>
      </c>
      <c r="I21" s="180"/>
      <c r="J21" s="13"/>
      <c r="K21" s="18"/>
      <c r="L21" s="18"/>
      <c r="R21" s="7"/>
      <c r="S21" s="3"/>
      <c r="T21" s="3"/>
      <c r="U21" s="3"/>
      <c r="V21" s="3"/>
      <c r="W21" s="3"/>
    </row>
    <row r="22" spans="1:37">
      <c r="A22" s="236"/>
      <c r="B22" s="237"/>
      <c r="C22" s="236"/>
      <c r="D22" s="252" t="s">
        <v>20</v>
      </c>
      <c r="E22" s="253"/>
      <c r="F22" s="264"/>
      <c r="G22" s="255"/>
      <c r="H22" s="256">
        <f>SUM(H20:H21)</f>
        <v>6297.8968000000004</v>
      </c>
      <c r="I22" s="180"/>
      <c r="J22" s="18"/>
    </row>
    <row r="23" spans="1:37">
      <c r="A23" s="257" t="s">
        <v>10</v>
      </c>
      <c r="B23" s="258"/>
      <c r="C23" s="257"/>
      <c r="D23" s="265" t="s">
        <v>65</v>
      </c>
      <c r="E23" s="258"/>
      <c r="F23" s="260"/>
      <c r="G23" s="261"/>
      <c r="H23" s="262"/>
      <c r="I23" s="180"/>
      <c r="J23" s="13"/>
      <c r="Z23" s="4">
        <v>21894.722300000001</v>
      </c>
    </row>
    <row r="24" spans="1:37">
      <c r="A24" s="236" t="s">
        <v>11</v>
      </c>
      <c r="B24" s="237" t="s">
        <v>17</v>
      </c>
      <c r="C24" s="238" t="s">
        <v>43</v>
      </c>
      <c r="D24" s="239" t="s">
        <v>44</v>
      </c>
      <c r="E24" s="237" t="s">
        <v>13</v>
      </c>
      <c r="F24" s="299">
        <v>14.44</v>
      </c>
      <c r="G24" s="241">
        <v>139.47999999999999</v>
      </c>
      <c r="H24" s="242">
        <f t="shared" ref="H24" si="0">F24*G24</f>
        <v>2014.0911999999998</v>
      </c>
      <c r="I24" s="180"/>
      <c r="J24" s="13"/>
    </row>
    <row r="25" spans="1:37" ht="17.25" customHeight="1">
      <c r="A25" s="236" t="s">
        <v>48</v>
      </c>
      <c r="B25" s="237" t="s">
        <v>17</v>
      </c>
      <c r="C25" s="238" t="s">
        <v>45</v>
      </c>
      <c r="D25" s="239" t="s">
        <v>46</v>
      </c>
      <c r="E25" s="237" t="s">
        <v>13</v>
      </c>
      <c r="F25" s="299">
        <v>14.44</v>
      </c>
      <c r="G25" s="241">
        <v>19.98</v>
      </c>
      <c r="H25" s="242">
        <f t="shared" ref="H25:H26" si="1">F25*G25</f>
        <v>288.51119999999997</v>
      </c>
      <c r="I25" s="180"/>
      <c r="J25" s="13"/>
    </row>
    <row r="26" spans="1:37" ht="30.75" customHeight="1">
      <c r="A26" s="236" t="s">
        <v>49</v>
      </c>
      <c r="B26" s="237" t="s">
        <v>28</v>
      </c>
      <c r="C26" s="245">
        <v>94991</v>
      </c>
      <c r="D26" s="266" t="s">
        <v>58</v>
      </c>
      <c r="E26" s="237" t="s">
        <v>13</v>
      </c>
      <c r="F26" s="299">
        <v>14.44</v>
      </c>
      <c r="G26" s="241">
        <v>387.55</v>
      </c>
      <c r="H26" s="242">
        <f t="shared" si="1"/>
        <v>5596.2219999999998</v>
      </c>
      <c r="I26" s="180"/>
      <c r="J26" s="13"/>
    </row>
    <row r="27" spans="1:37" hidden="1">
      <c r="A27" s="236" t="s">
        <v>49</v>
      </c>
      <c r="B27" s="237" t="s">
        <v>17</v>
      </c>
      <c r="C27" s="238" t="s">
        <v>42</v>
      </c>
      <c r="D27" s="300" t="s">
        <v>41</v>
      </c>
      <c r="E27" s="248" t="s">
        <v>14</v>
      </c>
      <c r="F27" s="299" t="e">
        <f>'ANEXO 32 MEMORIAL DE CÁLCULO'!#REF!</f>
        <v>#REF!</v>
      </c>
      <c r="G27" s="241">
        <v>625.70000000000005</v>
      </c>
      <c r="H27" s="242"/>
      <c r="I27" s="39"/>
      <c r="J27" s="13"/>
      <c r="K27" s="17"/>
    </row>
    <row r="28" spans="1:37" ht="30" customHeight="1">
      <c r="A28" s="236" t="s">
        <v>51</v>
      </c>
      <c r="B28" s="237" t="s">
        <v>17</v>
      </c>
      <c r="C28" s="238" t="s">
        <v>53</v>
      </c>
      <c r="D28" s="267" t="s">
        <v>52</v>
      </c>
      <c r="E28" s="248" t="s">
        <v>12</v>
      </c>
      <c r="F28" s="299">
        <v>75.239999999999995</v>
      </c>
      <c r="G28" s="241">
        <v>83.25</v>
      </c>
      <c r="H28" s="242">
        <f t="shared" ref="H28" si="2">F28*G28</f>
        <v>6263.73</v>
      </c>
      <c r="I28" s="65"/>
      <c r="J28" s="13"/>
      <c r="K28" s="17"/>
    </row>
    <row r="29" spans="1:37" ht="15.75" customHeight="1">
      <c r="A29" s="257"/>
      <c r="B29" s="258"/>
      <c r="C29" s="257"/>
      <c r="D29" s="325" t="s">
        <v>20</v>
      </c>
      <c r="E29" s="325"/>
      <c r="F29" s="325"/>
      <c r="G29" s="325"/>
      <c r="H29" s="269">
        <f>H24+H25+H26+H28</f>
        <v>14162.554399999999</v>
      </c>
      <c r="I29" s="66"/>
      <c r="J29" s="18"/>
    </row>
    <row r="30" spans="1:37" ht="16.5" customHeight="1" thickBot="1">
      <c r="A30" s="59"/>
      <c r="B30" s="60"/>
      <c r="C30" s="59"/>
      <c r="D30" s="64"/>
      <c r="E30" s="60"/>
      <c r="F30" s="228" t="s">
        <v>6</v>
      </c>
      <c r="G30" s="62"/>
      <c r="H30" s="229">
        <f>H11+H18+H22+H29</f>
        <v>519386.62190000003</v>
      </c>
      <c r="I30" s="18"/>
      <c r="J30" s="18"/>
      <c r="Z30" s="4">
        <v>28972.986900000004</v>
      </c>
    </row>
    <row r="31" spans="1:37" ht="16.5" customHeight="1" thickBot="1">
      <c r="A31" s="59"/>
      <c r="B31" s="60"/>
      <c r="C31" s="59"/>
      <c r="D31" s="73"/>
      <c r="E31" s="189" t="s">
        <v>168</v>
      </c>
      <c r="F31" s="190"/>
      <c r="G31" s="190"/>
      <c r="H31" s="192">
        <f>H30*1.2423</f>
        <v>645234.00038637</v>
      </c>
      <c r="I31" s="18"/>
      <c r="J31" s="18"/>
    </row>
    <row r="32" spans="1:37" ht="16.5" customHeight="1">
      <c r="A32" s="59"/>
      <c r="B32" s="60"/>
      <c r="C32" s="59"/>
      <c r="D32" s="64"/>
      <c r="E32" s="60"/>
      <c r="F32" s="186" t="s">
        <v>61</v>
      </c>
      <c r="G32" s="187"/>
      <c r="H32" s="188">
        <v>641655.22</v>
      </c>
      <c r="I32" s="18"/>
      <c r="J32" s="18"/>
    </row>
    <row r="33" spans="1:37" ht="16.5" customHeight="1">
      <c r="A33" s="59"/>
      <c r="B33" s="60"/>
      <c r="C33" s="59"/>
      <c r="D33" s="64"/>
      <c r="E33" s="60"/>
      <c r="F33" s="70" t="s">
        <v>62</v>
      </c>
      <c r="G33" s="71"/>
      <c r="H33" s="72">
        <f>H31-H32</f>
        <v>3578.7803863700246</v>
      </c>
      <c r="I33" s="18"/>
      <c r="J33" s="123"/>
    </row>
    <row r="34" spans="1:37" ht="16.5" customHeight="1">
      <c r="A34" s="59"/>
      <c r="B34" s="60"/>
      <c r="C34" s="59"/>
      <c r="D34" s="64"/>
      <c r="E34" s="60"/>
      <c r="F34" s="62"/>
      <c r="G34" s="62"/>
      <c r="H34" s="63"/>
      <c r="I34" s="18"/>
      <c r="J34" s="123"/>
    </row>
    <row r="35" spans="1:37" s="1" customFormat="1" ht="22.5" customHeight="1">
      <c r="A35" s="330" t="s">
        <v>177</v>
      </c>
      <c r="B35" s="332"/>
      <c r="C35" s="332"/>
      <c r="D35" s="332"/>
      <c r="E35" s="332"/>
      <c r="F35" s="332"/>
      <c r="G35" s="330" t="s">
        <v>210</v>
      </c>
      <c r="H35" s="331"/>
      <c r="I35" s="19"/>
      <c r="J35" s="19"/>
      <c r="K35" s="11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6"/>
      <c r="Y35" s="2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</row>
    <row r="36" spans="1:37" s="1" customFormat="1">
      <c r="A36" s="285" t="s">
        <v>5</v>
      </c>
      <c r="B36" s="285"/>
      <c r="C36" s="285"/>
      <c r="D36" s="286" t="s">
        <v>0</v>
      </c>
      <c r="E36" s="287"/>
      <c r="F36" s="288"/>
      <c r="G36" s="289"/>
      <c r="H36" s="290"/>
      <c r="I36" s="18"/>
      <c r="J36" s="18"/>
      <c r="K36" s="11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6"/>
      <c r="Y36" s="2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spans="1:37" s="1" customFormat="1">
      <c r="A37" s="236" t="s">
        <v>4</v>
      </c>
      <c r="B37" s="237" t="s">
        <v>17</v>
      </c>
      <c r="C37" s="291" t="s">
        <v>21</v>
      </c>
      <c r="D37" s="292" t="s">
        <v>216</v>
      </c>
      <c r="E37" s="237" t="s">
        <v>12</v>
      </c>
      <c r="F37" s="312">
        <v>6</v>
      </c>
      <c r="G37" s="294">
        <v>323.45</v>
      </c>
      <c r="H37" s="295">
        <f>ROUND(F37*G37,2)</f>
        <v>1940.7</v>
      </c>
      <c r="I37" s="180"/>
      <c r="J37" s="13"/>
      <c r="K37" s="11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6"/>
      <c r="Y37" s="2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</row>
    <row r="38" spans="1:37" s="1" customFormat="1" ht="15" customHeight="1">
      <c r="A38" s="236"/>
      <c r="B38" s="237"/>
      <c r="C38" s="291"/>
      <c r="D38" s="252" t="s">
        <v>20</v>
      </c>
      <c r="E38" s="253"/>
      <c r="F38" s="313"/>
      <c r="G38" s="297"/>
      <c r="H38" s="298">
        <f>H37</f>
        <v>1940.7</v>
      </c>
      <c r="I38" s="180"/>
      <c r="J38" s="61"/>
      <c r="K38" s="11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6"/>
      <c r="Y38" s="2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</row>
    <row r="39" spans="1:37">
      <c r="A39" s="270" t="s">
        <v>3</v>
      </c>
      <c r="B39" s="270"/>
      <c r="C39" s="270"/>
      <c r="D39" s="271" t="s">
        <v>16</v>
      </c>
      <c r="E39" s="272"/>
      <c r="F39" s="273"/>
      <c r="G39" s="274"/>
      <c r="H39" s="275"/>
    </row>
    <row r="40" spans="1:37">
      <c r="A40" s="236" t="s">
        <v>29</v>
      </c>
      <c r="B40" s="237" t="s">
        <v>17</v>
      </c>
      <c r="C40" s="238" t="s">
        <v>26</v>
      </c>
      <c r="D40" s="239" t="s">
        <v>27</v>
      </c>
      <c r="E40" s="237" t="s">
        <v>12</v>
      </c>
      <c r="F40" s="240">
        <v>1987.45</v>
      </c>
      <c r="G40" s="241">
        <v>0.51</v>
      </c>
      <c r="H40" s="242">
        <f>ROUND(F40*G40,2)</f>
        <v>1013.6</v>
      </c>
    </row>
    <row r="41" spans="1:37">
      <c r="A41" s="236" t="s">
        <v>30</v>
      </c>
      <c r="B41" s="237" t="s">
        <v>17</v>
      </c>
      <c r="C41" s="243" t="s">
        <v>23</v>
      </c>
      <c r="D41" s="239" t="s">
        <v>22</v>
      </c>
      <c r="E41" s="244" t="s">
        <v>12</v>
      </c>
      <c r="F41" s="240">
        <f>F40</f>
        <v>1987.45</v>
      </c>
      <c r="G41" s="241">
        <v>3.27</v>
      </c>
      <c r="H41" s="242">
        <f>ROUND(F41*G41,2)</f>
        <v>6498.96</v>
      </c>
    </row>
    <row r="42" spans="1:37">
      <c r="A42" s="236" t="s">
        <v>31</v>
      </c>
      <c r="B42" s="237" t="s">
        <v>17</v>
      </c>
      <c r="C42" s="245" t="s">
        <v>24</v>
      </c>
      <c r="D42" s="239" t="s">
        <v>25</v>
      </c>
      <c r="E42" s="244" t="s">
        <v>13</v>
      </c>
      <c r="F42" s="240">
        <f>F41*0.03</f>
        <v>59.6235</v>
      </c>
      <c r="G42" s="241">
        <v>674.17</v>
      </c>
      <c r="H42" s="242">
        <f>ROUND(F42*G42,2)</f>
        <v>40196.370000000003</v>
      </c>
    </row>
    <row r="43" spans="1:37" s="1" customFormat="1" ht="33" customHeight="1">
      <c r="A43" s="236" t="s">
        <v>169</v>
      </c>
      <c r="B43" s="237" t="s">
        <v>28</v>
      </c>
      <c r="C43" s="246" t="s">
        <v>170</v>
      </c>
      <c r="D43" s="247" t="s">
        <v>171</v>
      </c>
      <c r="E43" s="248" t="s">
        <v>172</v>
      </c>
      <c r="F43" s="240">
        <f>F42*11.2</f>
        <v>667.78319999999997</v>
      </c>
      <c r="G43" s="249">
        <v>0.95</v>
      </c>
      <c r="H43" s="242">
        <f>F43*G43</f>
        <v>634.3940399999999</v>
      </c>
      <c r="I43" s="18"/>
      <c r="J43" s="18"/>
      <c r="K43" s="11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6"/>
      <c r="Y43" s="2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</row>
    <row r="44" spans="1:37" s="1" customFormat="1" ht="33.75" customHeight="1">
      <c r="A44" s="236" t="s">
        <v>173</v>
      </c>
      <c r="B44" s="237" t="s">
        <v>28</v>
      </c>
      <c r="C44" s="276">
        <v>72891</v>
      </c>
      <c r="D44" s="277" t="s">
        <v>174</v>
      </c>
      <c r="E44" s="248" t="s">
        <v>175</v>
      </c>
      <c r="F44" s="240">
        <f>F42</f>
        <v>59.6235</v>
      </c>
      <c r="G44" s="241">
        <v>4.76</v>
      </c>
      <c r="H44" s="242">
        <f>F44*G44</f>
        <v>283.80786000000001</v>
      </c>
      <c r="I44" s="18"/>
      <c r="J44" s="18"/>
      <c r="K44" s="10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6"/>
      <c r="Y44" s="2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</row>
    <row r="45" spans="1:37">
      <c r="A45" s="236"/>
      <c r="B45" s="236"/>
      <c r="C45" s="236"/>
      <c r="D45" s="252" t="s">
        <v>20</v>
      </c>
      <c r="E45" s="253"/>
      <c r="F45" s="264"/>
      <c r="G45" s="255"/>
      <c r="H45" s="256">
        <f>SUM(H40:H44)</f>
        <v>48627.1319</v>
      </c>
    </row>
    <row r="46" spans="1:37" ht="18" customHeight="1">
      <c r="A46" s="278" t="s">
        <v>2</v>
      </c>
      <c r="B46" s="279"/>
      <c r="C46" s="278"/>
      <c r="D46" s="280" t="s">
        <v>54</v>
      </c>
      <c r="E46" s="279"/>
      <c r="F46" s="281"/>
      <c r="G46" s="282"/>
      <c r="H46" s="283">
        <f>ROUND(F46*G46,2)</f>
        <v>0</v>
      </c>
    </row>
    <row r="47" spans="1:37" ht="25.5">
      <c r="A47" s="236" t="s">
        <v>1</v>
      </c>
      <c r="B47" s="237" t="s">
        <v>28</v>
      </c>
      <c r="C47" s="263">
        <v>72947</v>
      </c>
      <c r="D47" s="251" t="s">
        <v>55</v>
      </c>
      <c r="E47" s="248" t="s">
        <v>15</v>
      </c>
      <c r="F47" s="240">
        <f>4*3.16</f>
        <v>12.64</v>
      </c>
      <c r="G47" s="241">
        <v>25.99</v>
      </c>
      <c r="H47" s="242">
        <f>F47*G47</f>
        <v>328.5136</v>
      </c>
    </row>
    <row r="48" spans="1:37">
      <c r="A48" s="236"/>
      <c r="B48" s="237"/>
      <c r="C48" s="236"/>
      <c r="D48" s="252" t="s">
        <v>20</v>
      </c>
      <c r="E48" s="253"/>
      <c r="F48" s="264"/>
      <c r="G48" s="255"/>
      <c r="H48" s="256">
        <f>SUM(H47:H47)</f>
        <v>328.5136</v>
      </c>
    </row>
    <row r="49" spans="1:37">
      <c r="A49" s="278" t="s">
        <v>10</v>
      </c>
      <c r="B49" s="279"/>
      <c r="C49" s="278"/>
      <c r="D49" s="284" t="s">
        <v>65</v>
      </c>
      <c r="E49" s="279"/>
      <c r="F49" s="281"/>
      <c r="G49" s="282"/>
      <c r="H49" s="283"/>
    </row>
    <row r="50" spans="1:37">
      <c r="A50" s="236" t="s">
        <v>11</v>
      </c>
      <c r="B50" s="237" t="s">
        <v>17</v>
      </c>
      <c r="C50" s="238" t="s">
        <v>43</v>
      </c>
      <c r="D50" s="239" t="s">
        <v>44</v>
      </c>
      <c r="E50" s="237" t="s">
        <v>13</v>
      </c>
      <c r="F50" s="240">
        <f>8*0.19</f>
        <v>1.52</v>
      </c>
      <c r="G50" s="241">
        <v>139.47999999999999</v>
      </c>
      <c r="H50" s="242">
        <f t="shared" ref="H50:H53" si="3">F50*G50</f>
        <v>212.00959999999998</v>
      </c>
    </row>
    <row r="51" spans="1:37">
      <c r="A51" s="236" t="s">
        <v>48</v>
      </c>
      <c r="B51" s="237" t="s">
        <v>17</v>
      </c>
      <c r="C51" s="238" t="s">
        <v>45</v>
      </c>
      <c r="D51" s="239" t="s">
        <v>46</v>
      </c>
      <c r="E51" s="237" t="s">
        <v>13</v>
      </c>
      <c r="F51" s="240">
        <f>F50</f>
        <v>1.52</v>
      </c>
      <c r="G51" s="241">
        <v>19.98</v>
      </c>
      <c r="H51" s="242">
        <f t="shared" si="3"/>
        <v>30.369600000000002</v>
      </c>
    </row>
    <row r="52" spans="1:37" ht="25.5">
      <c r="A52" s="236" t="s">
        <v>49</v>
      </c>
      <c r="B52" s="237" t="s">
        <v>28</v>
      </c>
      <c r="C52" s="245">
        <v>94991</v>
      </c>
      <c r="D52" s="266" t="s">
        <v>58</v>
      </c>
      <c r="E52" s="237" t="s">
        <v>13</v>
      </c>
      <c r="F52" s="240">
        <f>F50</f>
        <v>1.52</v>
      </c>
      <c r="G52" s="241">
        <v>387.55</v>
      </c>
      <c r="H52" s="242">
        <f t="shared" si="3"/>
        <v>589.07600000000002</v>
      </c>
    </row>
    <row r="53" spans="1:37" ht="25.5">
      <c r="A53" s="236" t="s">
        <v>51</v>
      </c>
      <c r="B53" s="237" t="s">
        <v>17</v>
      </c>
      <c r="C53" s="238" t="s">
        <v>53</v>
      </c>
      <c r="D53" s="267" t="s">
        <v>52</v>
      </c>
      <c r="E53" s="248" t="s">
        <v>12</v>
      </c>
      <c r="F53" s="240">
        <f>8*0.99</f>
        <v>7.92</v>
      </c>
      <c r="G53" s="241">
        <v>83.25</v>
      </c>
      <c r="H53" s="242">
        <f t="shared" si="3"/>
        <v>659.34</v>
      </c>
    </row>
    <row r="54" spans="1:37">
      <c r="A54" s="236"/>
      <c r="B54" s="237"/>
      <c r="C54" s="236"/>
      <c r="D54" s="324" t="s">
        <v>20</v>
      </c>
      <c r="E54" s="324"/>
      <c r="F54" s="324"/>
      <c r="G54" s="324"/>
      <c r="H54" s="268">
        <f>SUM(H50:H53)</f>
        <v>1490.7952</v>
      </c>
    </row>
    <row r="55" spans="1:37" ht="15.75" thickBot="1">
      <c r="A55" s="59"/>
      <c r="B55" s="60"/>
      <c r="C55" s="59"/>
      <c r="D55" s="64"/>
      <c r="E55" s="60"/>
      <c r="F55" s="228" t="s">
        <v>6</v>
      </c>
      <c r="G55" s="62"/>
      <c r="H55" s="229">
        <f>H38+H45+H48+H54</f>
        <v>52387.140699999996</v>
      </c>
    </row>
    <row r="56" spans="1:37" ht="16.5" customHeight="1" thickBot="1">
      <c r="A56" s="59"/>
      <c r="B56" s="326"/>
      <c r="C56" s="326"/>
      <c r="D56" s="326"/>
      <c r="E56" s="327" t="s">
        <v>167</v>
      </c>
      <c r="F56" s="328"/>
      <c r="G56" s="329"/>
      <c r="H56" s="191">
        <f>H55*1.2423</f>
        <v>65080.544891609992</v>
      </c>
    </row>
    <row r="57" spans="1:37" ht="16.5" customHeight="1">
      <c r="A57" s="59"/>
      <c r="B57" s="193"/>
      <c r="C57" s="193"/>
      <c r="D57" s="193"/>
      <c r="E57" s="199"/>
      <c r="F57" s="199"/>
      <c r="G57" s="199"/>
      <c r="H57" s="200"/>
    </row>
    <row r="58" spans="1:37" s="1" customFormat="1" ht="22.5" customHeight="1">
      <c r="A58" s="330" t="s">
        <v>178</v>
      </c>
      <c r="B58" s="332"/>
      <c r="C58" s="332"/>
      <c r="D58" s="332"/>
      <c r="E58" s="332"/>
      <c r="F58" s="332"/>
      <c r="G58" s="330" t="s">
        <v>218</v>
      </c>
      <c r="H58" s="331"/>
      <c r="I58" s="19"/>
      <c r="J58" s="19"/>
      <c r="K58" s="11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6"/>
      <c r="Y58" s="2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</row>
    <row r="59" spans="1:37">
      <c r="A59" s="230" t="s">
        <v>5</v>
      </c>
      <c r="B59" s="230"/>
      <c r="C59" s="230"/>
      <c r="D59" s="231" t="s">
        <v>16</v>
      </c>
      <c r="E59" s="232"/>
      <c r="F59" s="233"/>
      <c r="G59" s="234"/>
      <c r="H59" s="235"/>
    </row>
    <row r="60" spans="1:37">
      <c r="A60" s="236" t="s">
        <v>4</v>
      </c>
      <c r="B60" s="237" t="s">
        <v>17</v>
      </c>
      <c r="C60" s="238" t="s">
        <v>26</v>
      </c>
      <c r="D60" s="239" t="s">
        <v>27</v>
      </c>
      <c r="E60" s="237" t="s">
        <v>12</v>
      </c>
      <c r="F60" s="240">
        <v>25595.47</v>
      </c>
      <c r="G60" s="241">
        <v>0.51</v>
      </c>
      <c r="H60" s="242">
        <f>ROUND(F60*G60,2)</f>
        <v>13053.69</v>
      </c>
    </row>
    <row r="61" spans="1:37">
      <c r="A61" s="236" t="s">
        <v>198</v>
      </c>
      <c r="B61" s="237" t="s">
        <v>17</v>
      </c>
      <c r="C61" s="243" t="s">
        <v>23</v>
      </c>
      <c r="D61" s="239" t="s">
        <v>22</v>
      </c>
      <c r="E61" s="244" t="s">
        <v>12</v>
      </c>
      <c r="F61" s="240">
        <f>F60</f>
        <v>25595.47</v>
      </c>
      <c r="G61" s="241">
        <v>3.27</v>
      </c>
      <c r="H61" s="242">
        <f>ROUND(F61*G61,2)</f>
        <v>83697.19</v>
      </c>
    </row>
    <row r="62" spans="1:37">
      <c r="A62" s="236" t="s">
        <v>199</v>
      </c>
      <c r="B62" s="237" t="s">
        <v>17</v>
      </c>
      <c r="C62" s="245" t="s">
        <v>24</v>
      </c>
      <c r="D62" s="239" t="s">
        <v>25</v>
      </c>
      <c r="E62" s="244" t="s">
        <v>13</v>
      </c>
      <c r="F62" s="240">
        <f>F61*0.03</f>
        <v>767.86410000000001</v>
      </c>
      <c r="G62" s="241">
        <v>674.17</v>
      </c>
      <c r="H62" s="242">
        <f>ROUND(F62*G62,2)</f>
        <v>517670.94</v>
      </c>
    </row>
    <row r="63" spans="1:37" s="1" customFormat="1" ht="33" customHeight="1">
      <c r="A63" s="236" t="s">
        <v>200</v>
      </c>
      <c r="B63" s="237" t="s">
        <v>28</v>
      </c>
      <c r="C63" s="246" t="s">
        <v>170</v>
      </c>
      <c r="D63" s="247" t="s">
        <v>171</v>
      </c>
      <c r="E63" s="248" t="s">
        <v>172</v>
      </c>
      <c r="F63" s="240">
        <f>F62*11.2</f>
        <v>8600.0779199999997</v>
      </c>
      <c r="G63" s="249">
        <v>0.95</v>
      </c>
      <c r="H63" s="242">
        <f>F63*G63</f>
        <v>8170.0740239999996</v>
      </c>
      <c r="I63" s="18"/>
      <c r="J63" s="18"/>
      <c r="K63" s="11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6"/>
      <c r="Y63" s="2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1:37" s="1" customFormat="1" ht="33.75" customHeight="1">
      <c r="A64" s="236" t="s">
        <v>201</v>
      </c>
      <c r="B64" s="237" t="s">
        <v>28</v>
      </c>
      <c r="C64" s="250">
        <v>72891</v>
      </c>
      <c r="D64" s="251" t="s">
        <v>174</v>
      </c>
      <c r="E64" s="248" t="s">
        <v>175</v>
      </c>
      <c r="F64" s="240">
        <f>F62</f>
        <v>767.86410000000001</v>
      </c>
      <c r="G64" s="241">
        <v>4.76</v>
      </c>
      <c r="H64" s="242">
        <f>F64*G64</f>
        <v>3655.0331160000001</v>
      </c>
      <c r="I64" s="18"/>
      <c r="J64" s="18"/>
      <c r="K64" s="10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6"/>
      <c r="Y64" s="2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1:37">
      <c r="A65" s="236"/>
      <c r="B65" s="236"/>
      <c r="C65" s="236"/>
      <c r="D65" s="252" t="s">
        <v>20</v>
      </c>
      <c r="E65" s="253"/>
      <c r="F65" s="254"/>
      <c r="G65" s="255"/>
      <c r="H65" s="256">
        <f>SUM(H60:H62)</f>
        <v>614421.82000000007</v>
      </c>
    </row>
    <row r="66" spans="1:37" ht="18" customHeight="1">
      <c r="A66" s="257" t="s">
        <v>3</v>
      </c>
      <c r="B66" s="258"/>
      <c r="C66" s="257"/>
      <c r="D66" s="259" t="s">
        <v>54</v>
      </c>
      <c r="E66" s="258"/>
      <c r="F66" s="260"/>
      <c r="G66" s="261"/>
      <c r="H66" s="262"/>
    </row>
    <row r="67" spans="1:37" ht="25.5">
      <c r="A67" s="236" t="s">
        <v>29</v>
      </c>
      <c r="B67" s="237" t="s">
        <v>28</v>
      </c>
      <c r="C67" s="263">
        <v>72947</v>
      </c>
      <c r="D67" s="251" t="s">
        <v>55</v>
      </c>
      <c r="E67" s="248" t="s">
        <v>15</v>
      </c>
      <c r="F67" s="240">
        <f>36*3.16</f>
        <v>113.76</v>
      </c>
      <c r="G67" s="241">
        <v>25.99</v>
      </c>
      <c r="H67" s="242">
        <f>F67*G67</f>
        <v>2956.6223999999997</v>
      </c>
    </row>
    <row r="68" spans="1:37" ht="25.5">
      <c r="A68" s="236" t="s">
        <v>30</v>
      </c>
      <c r="B68" s="237" t="s">
        <v>28</v>
      </c>
      <c r="C68" s="263">
        <v>72947</v>
      </c>
      <c r="D68" s="251" t="s">
        <v>57</v>
      </c>
      <c r="E68" s="248" t="s">
        <v>15</v>
      </c>
      <c r="F68" s="240">
        <f>52*10.8</f>
        <v>561.6</v>
      </c>
      <c r="G68" s="241">
        <v>25.99</v>
      </c>
      <c r="H68" s="242">
        <f>F68*G68</f>
        <v>14595.984</v>
      </c>
    </row>
    <row r="69" spans="1:37">
      <c r="A69" s="236"/>
      <c r="B69" s="237"/>
      <c r="C69" s="236"/>
      <c r="D69" s="252" t="s">
        <v>20</v>
      </c>
      <c r="E69" s="253"/>
      <c r="F69" s="264"/>
      <c r="G69" s="255"/>
      <c r="H69" s="256">
        <f>SUM(H67:H68)</f>
        <v>17552.606400000001</v>
      </c>
    </row>
    <row r="70" spans="1:37">
      <c r="A70" s="257" t="s">
        <v>2</v>
      </c>
      <c r="B70" s="258"/>
      <c r="C70" s="257"/>
      <c r="D70" s="265" t="s">
        <v>65</v>
      </c>
      <c r="E70" s="258"/>
      <c r="F70" s="260"/>
      <c r="G70" s="261"/>
      <c r="H70" s="262"/>
    </row>
    <row r="71" spans="1:37">
      <c r="A71" s="236" t="s">
        <v>1</v>
      </c>
      <c r="B71" s="237" t="s">
        <v>17</v>
      </c>
      <c r="C71" s="238" t="s">
        <v>43</v>
      </c>
      <c r="D71" s="239" t="s">
        <v>44</v>
      </c>
      <c r="E71" s="237" t="s">
        <v>13</v>
      </c>
      <c r="F71" s="240">
        <f>176*0.19</f>
        <v>33.44</v>
      </c>
      <c r="G71" s="241">
        <v>139.47999999999999</v>
      </c>
      <c r="H71" s="242">
        <f t="shared" ref="H71:H74" si="4">F71*G71</f>
        <v>4664.2111999999997</v>
      </c>
    </row>
    <row r="72" spans="1:37">
      <c r="A72" s="236" t="s">
        <v>56</v>
      </c>
      <c r="B72" s="237" t="s">
        <v>17</v>
      </c>
      <c r="C72" s="238" t="s">
        <v>45</v>
      </c>
      <c r="D72" s="239" t="s">
        <v>46</v>
      </c>
      <c r="E72" s="237" t="s">
        <v>13</v>
      </c>
      <c r="F72" s="240">
        <f>F71</f>
        <v>33.44</v>
      </c>
      <c r="G72" s="241">
        <v>19.98</v>
      </c>
      <c r="H72" s="242">
        <f t="shared" si="4"/>
        <v>668.13119999999992</v>
      </c>
    </row>
    <row r="73" spans="1:37" ht="25.5">
      <c r="A73" s="236" t="s">
        <v>202</v>
      </c>
      <c r="B73" s="237" t="s">
        <v>28</v>
      </c>
      <c r="C73" s="245">
        <v>94991</v>
      </c>
      <c r="D73" s="266" t="s">
        <v>58</v>
      </c>
      <c r="E73" s="237" t="s">
        <v>13</v>
      </c>
      <c r="F73" s="240">
        <f>F71</f>
        <v>33.44</v>
      </c>
      <c r="G73" s="241">
        <v>387.55</v>
      </c>
      <c r="H73" s="242">
        <f t="shared" si="4"/>
        <v>12959.671999999999</v>
      </c>
    </row>
    <row r="74" spans="1:37" ht="25.5">
      <c r="A74" s="236" t="s">
        <v>203</v>
      </c>
      <c r="B74" s="237" t="s">
        <v>17</v>
      </c>
      <c r="C74" s="238" t="s">
        <v>53</v>
      </c>
      <c r="D74" s="267" t="s">
        <v>52</v>
      </c>
      <c r="E74" s="248" t="s">
        <v>12</v>
      </c>
      <c r="F74" s="240">
        <f>176*0.99</f>
        <v>174.24</v>
      </c>
      <c r="G74" s="241">
        <v>83.25</v>
      </c>
      <c r="H74" s="242">
        <f t="shared" si="4"/>
        <v>14505.480000000001</v>
      </c>
    </row>
    <row r="75" spans="1:37">
      <c r="A75" s="236"/>
      <c r="B75" s="237"/>
      <c r="C75" s="236"/>
      <c r="D75" s="324" t="s">
        <v>20</v>
      </c>
      <c r="E75" s="324"/>
      <c r="F75" s="324"/>
      <c r="G75" s="324"/>
      <c r="H75" s="268">
        <f>SUM(H71:H74)</f>
        <v>32797.494400000003</v>
      </c>
    </row>
    <row r="76" spans="1:37" ht="15.75" thickBot="1">
      <c r="A76" s="59"/>
      <c r="B76" s="60"/>
      <c r="C76" s="59"/>
      <c r="D76" s="64"/>
      <c r="E76" s="60"/>
      <c r="F76" s="228" t="s">
        <v>6</v>
      </c>
      <c r="G76" s="62"/>
      <c r="H76" s="229">
        <f>H65+H69+H75</f>
        <v>664771.92080000008</v>
      </c>
    </row>
    <row r="77" spans="1:37" ht="15.75" thickBot="1">
      <c r="A77" s="59"/>
      <c r="B77" s="60"/>
      <c r="C77" s="59"/>
      <c r="D77" s="64"/>
      <c r="E77" s="327" t="s">
        <v>167</v>
      </c>
      <c r="F77" s="328"/>
      <c r="G77" s="329"/>
      <c r="H77" s="191">
        <f>H76*1.2423</f>
        <v>825846.15720984002</v>
      </c>
    </row>
    <row r="78" spans="1:37">
      <c r="A78" s="59"/>
      <c r="B78" s="60"/>
      <c r="C78" s="59"/>
      <c r="D78" s="64"/>
      <c r="E78" s="60"/>
      <c r="F78" s="201"/>
      <c r="G78" s="184"/>
      <c r="H78" s="185"/>
    </row>
    <row r="79" spans="1:37" s="1" customFormat="1" ht="22.5" customHeight="1">
      <c r="A79" s="330" t="s">
        <v>179</v>
      </c>
      <c r="B79" s="332"/>
      <c r="C79" s="332"/>
      <c r="D79" s="332"/>
      <c r="E79" s="332"/>
      <c r="F79" s="332"/>
      <c r="G79" s="330" t="s">
        <v>217</v>
      </c>
      <c r="H79" s="331"/>
      <c r="I79" s="19"/>
      <c r="J79" s="19"/>
      <c r="K79" s="11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6"/>
      <c r="Y79" s="2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</row>
    <row r="80" spans="1:37">
      <c r="A80" s="230" t="s">
        <v>5</v>
      </c>
      <c r="B80" s="230"/>
      <c r="C80" s="230"/>
      <c r="D80" s="231" t="s">
        <v>16</v>
      </c>
      <c r="E80" s="232"/>
      <c r="F80" s="233"/>
      <c r="G80" s="234"/>
      <c r="H80" s="235"/>
    </row>
    <row r="81" spans="1:37">
      <c r="A81" s="236" t="s">
        <v>4</v>
      </c>
      <c r="B81" s="237" t="s">
        <v>17</v>
      </c>
      <c r="C81" s="238" t="s">
        <v>26</v>
      </c>
      <c r="D81" s="239" t="s">
        <v>27</v>
      </c>
      <c r="E81" s="237" t="s">
        <v>12</v>
      </c>
      <c r="F81" s="240">
        <v>17156.259999999998</v>
      </c>
      <c r="G81" s="241">
        <v>0.51</v>
      </c>
      <c r="H81" s="242">
        <f>ROUND(F81*G81,2)</f>
        <v>8749.69</v>
      </c>
    </row>
    <row r="82" spans="1:37">
      <c r="A82" s="236" t="s">
        <v>198</v>
      </c>
      <c r="B82" s="237" t="s">
        <v>17</v>
      </c>
      <c r="C82" s="243" t="s">
        <v>23</v>
      </c>
      <c r="D82" s="239" t="s">
        <v>22</v>
      </c>
      <c r="E82" s="244" t="s">
        <v>12</v>
      </c>
      <c r="F82" s="240">
        <f>F81</f>
        <v>17156.259999999998</v>
      </c>
      <c r="G82" s="241">
        <v>3.27</v>
      </c>
      <c r="H82" s="242">
        <f>ROUND(F82*G82,2)</f>
        <v>56100.97</v>
      </c>
    </row>
    <row r="83" spans="1:37">
      <c r="A83" s="236" t="s">
        <v>199</v>
      </c>
      <c r="B83" s="237" t="s">
        <v>17</v>
      </c>
      <c r="C83" s="245" t="s">
        <v>24</v>
      </c>
      <c r="D83" s="239" t="s">
        <v>25</v>
      </c>
      <c r="E83" s="244" t="s">
        <v>13</v>
      </c>
      <c r="F83" s="240">
        <f>F81*0.03</f>
        <v>514.68779999999992</v>
      </c>
      <c r="G83" s="241">
        <v>674.17</v>
      </c>
      <c r="H83" s="242">
        <f>ROUND(F83*G83,2)</f>
        <v>346987.07</v>
      </c>
    </row>
    <row r="84" spans="1:37" s="1" customFormat="1" ht="33" customHeight="1">
      <c r="A84" s="236" t="s">
        <v>200</v>
      </c>
      <c r="B84" s="237" t="s">
        <v>28</v>
      </c>
      <c r="C84" s="246" t="s">
        <v>170</v>
      </c>
      <c r="D84" s="247" t="s">
        <v>171</v>
      </c>
      <c r="E84" s="248" t="s">
        <v>172</v>
      </c>
      <c r="F84" s="240">
        <f>F83*11.2</f>
        <v>5764.5033599999988</v>
      </c>
      <c r="G84" s="249">
        <v>0.95</v>
      </c>
      <c r="H84" s="242">
        <f>F84*G84</f>
        <v>5476.2781919999989</v>
      </c>
      <c r="I84" s="18"/>
      <c r="J84" s="18"/>
      <c r="K84" s="11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6"/>
      <c r="Y84" s="2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1:37" s="1" customFormat="1" ht="33.75" customHeight="1">
      <c r="A85" s="236" t="s">
        <v>201</v>
      </c>
      <c r="B85" s="237" t="s">
        <v>28</v>
      </c>
      <c r="C85" s="250">
        <v>72891</v>
      </c>
      <c r="D85" s="251" t="s">
        <v>174</v>
      </c>
      <c r="E85" s="248" t="s">
        <v>175</v>
      </c>
      <c r="F85" s="240">
        <f>F83</f>
        <v>514.68779999999992</v>
      </c>
      <c r="G85" s="241">
        <v>4.76</v>
      </c>
      <c r="H85" s="242">
        <f>F85*G85</f>
        <v>2449.9139279999995</v>
      </c>
      <c r="I85" s="18"/>
      <c r="J85" s="18"/>
      <c r="K85" s="10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6"/>
      <c r="Y85" s="2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spans="1:37">
      <c r="A86" s="236"/>
      <c r="B86" s="236"/>
      <c r="C86" s="236"/>
      <c r="D86" s="252" t="s">
        <v>20</v>
      </c>
      <c r="E86" s="253"/>
      <c r="F86" s="264"/>
      <c r="G86" s="255"/>
      <c r="H86" s="256">
        <f>SUM(H81:H83)</f>
        <v>411837.73</v>
      </c>
    </row>
    <row r="87" spans="1:37" ht="18" customHeight="1">
      <c r="A87" s="257" t="s">
        <v>3</v>
      </c>
      <c r="B87" s="258"/>
      <c r="C87" s="257"/>
      <c r="D87" s="259" t="s">
        <v>54</v>
      </c>
      <c r="E87" s="258"/>
      <c r="F87" s="260"/>
      <c r="G87" s="261"/>
      <c r="H87" s="262">
        <f>ROUND(F87*G87,2)</f>
        <v>0</v>
      </c>
    </row>
    <row r="88" spans="1:37" ht="25.5">
      <c r="A88" s="236" t="s">
        <v>29</v>
      </c>
      <c r="B88" s="237" t="s">
        <v>28</v>
      </c>
      <c r="C88" s="263">
        <v>72947</v>
      </c>
      <c r="D88" s="251" t="s">
        <v>55</v>
      </c>
      <c r="E88" s="248" t="s">
        <v>15</v>
      </c>
      <c r="F88" s="240">
        <f>25*3.16</f>
        <v>79</v>
      </c>
      <c r="G88" s="241">
        <v>25.99</v>
      </c>
      <c r="H88" s="242">
        <f>F88*G88</f>
        <v>2053.21</v>
      </c>
    </row>
    <row r="89" spans="1:37" ht="25.5">
      <c r="A89" s="236" t="s">
        <v>30</v>
      </c>
      <c r="B89" s="237" t="s">
        <v>28</v>
      </c>
      <c r="C89" s="263">
        <v>72947</v>
      </c>
      <c r="D89" s="251" t="s">
        <v>57</v>
      </c>
      <c r="E89" s="248" t="s">
        <v>15</v>
      </c>
      <c r="F89" s="240">
        <f>40*10.8</f>
        <v>432</v>
      </c>
      <c r="G89" s="241">
        <v>25.99</v>
      </c>
      <c r="H89" s="242">
        <f>F89*G89</f>
        <v>11227.679999999998</v>
      </c>
    </row>
    <row r="90" spans="1:37">
      <c r="A90" s="236"/>
      <c r="B90" s="237"/>
      <c r="C90" s="236"/>
      <c r="D90" s="252" t="s">
        <v>20</v>
      </c>
      <c r="E90" s="253"/>
      <c r="F90" s="254"/>
      <c r="G90" s="255"/>
      <c r="H90" s="256">
        <f>SUM(H88:H89)</f>
        <v>13280.89</v>
      </c>
    </row>
    <row r="91" spans="1:37" ht="14.25">
      <c r="A91" s="257" t="s">
        <v>2</v>
      </c>
      <c r="B91" s="258"/>
      <c r="C91" s="257"/>
      <c r="D91" s="265" t="s">
        <v>65</v>
      </c>
      <c r="E91" s="258"/>
      <c r="F91" s="260"/>
      <c r="G91" s="261"/>
      <c r="H91" s="262"/>
      <c r="I91" s="3"/>
      <c r="J91" s="3"/>
      <c r="K91" s="3"/>
      <c r="M91" s="3"/>
      <c r="N91" s="3"/>
      <c r="O91" s="3"/>
      <c r="P91" s="3"/>
      <c r="Q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</row>
    <row r="92" spans="1:37" ht="14.25">
      <c r="A92" s="236" t="s">
        <v>1</v>
      </c>
      <c r="B92" s="237" t="s">
        <v>17</v>
      </c>
      <c r="C92" s="238" t="s">
        <v>43</v>
      </c>
      <c r="D92" s="239" t="s">
        <v>44</v>
      </c>
      <c r="E92" s="237" t="s">
        <v>13</v>
      </c>
      <c r="F92" s="240">
        <f>130*0.19</f>
        <v>24.7</v>
      </c>
      <c r="G92" s="241">
        <v>139.47999999999999</v>
      </c>
      <c r="H92" s="242">
        <f t="shared" ref="H92:H95" si="5">F92*G92</f>
        <v>3445.1559999999995</v>
      </c>
      <c r="I92" s="3"/>
      <c r="J92" s="3"/>
      <c r="K92" s="3"/>
      <c r="M92" s="3"/>
      <c r="N92" s="3"/>
      <c r="O92" s="3"/>
      <c r="P92" s="3"/>
      <c r="Q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</row>
    <row r="93" spans="1:37" ht="14.25">
      <c r="A93" s="236" t="s">
        <v>56</v>
      </c>
      <c r="B93" s="237" t="s">
        <v>17</v>
      </c>
      <c r="C93" s="238" t="s">
        <v>45</v>
      </c>
      <c r="D93" s="239" t="s">
        <v>46</v>
      </c>
      <c r="E93" s="237" t="s">
        <v>13</v>
      </c>
      <c r="F93" s="240">
        <f>F92</f>
        <v>24.7</v>
      </c>
      <c r="G93" s="241">
        <v>19.98</v>
      </c>
      <c r="H93" s="242">
        <f t="shared" si="5"/>
        <v>493.50599999999997</v>
      </c>
      <c r="I93" s="3"/>
      <c r="J93" s="3"/>
      <c r="K93" s="3"/>
      <c r="M93" s="3"/>
      <c r="N93" s="3"/>
      <c r="O93" s="3"/>
      <c r="P93" s="3"/>
      <c r="Q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</row>
    <row r="94" spans="1:37" ht="25.5">
      <c r="A94" s="236" t="s">
        <v>202</v>
      </c>
      <c r="B94" s="237" t="s">
        <v>28</v>
      </c>
      <c r="C94" s="245">
        <v>94991</v>
      </c>
      <c r="D94" s="266" t="s">
        <v>58</v>
      </c>
      <c r="E94" s="237" t="s">
        <v>13</v>
      </c>
      <c r="F94" s="240">
        <f>F92</f>
        <v>24.7</v>
      </c>
      <c r="G94" s="241">
        <v>387.55</v>
      </c>
      <c r="H94" s="242">
        <f t="shared" si="5"/>
        <v>9572.4850000000006</v>
      </c>
      <c r="I94" s="3">
        <v>0</v>
      </c>
      <c r="J94" s="3"/>
      <c r="K94" s="3"/>
      <c r="M94" s="3"/>
      <c r="N94" s="3"/>
      <c r="O94" s="3"/>
      <c r="P94" s="3"/>
      <c r="Q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</row>
    <row r="95" spans="1:37" ht="25.5">
      <c r="A95" s="236" t="s">
        <v>203</v>
      </c>
      <c r="B95" s="237" t="s">
        <v>17</v>
      </c>
      <c r="C95" s="238" t="s">
        <v>53</v>
      </c>
      <c r="D95" s="267" t="s">
        <v>52</v>
      </c>
      <c r="E95" s="248" t="s">
        <v>12</v>
      </c>
      <c r="F95" s="240">
        <f>130*0.99</f>
        <v>128.69999999999999</v>
      </c>
      <c r="G95" s="241">
        <v>83.25</v>
      </c>
      <c r="H95" s="242">
        <f t="shared" si="5"/>
        <v>10714.275</v>
      </c>
      <c r="I95" s="3"/>
      <c r="J95" s="3"/>
      <c r="K95" s="3"/>
      <c r="M95" s="3"/>
      <c r="N95" s="3"/>
      <c r="O95" s="3"/>
      <c r="P95" s="3"/>
      <c r="Q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</row>
    <row r="96" spans="1:37">
      <c r="A96" s="236"/>
      <c r="B96" s="237"/>
      <c r="C96" s="236"/>
      <c r="D96" s="309" t="s">
        <v>20</v>
      </c>
      <c r="E96" s="310"/>
      <c r="F96" s="310"/>
      <c r="G96" s="311"/>
      <c r="H96" s="268">
        <f>SUM(H92:H95)</f>
        <v>24225.421999999999</v>
      </c>
      <c r="I96" s="3"/>
      <c r="J96" s="3"/>
      <c r="K96" s="3"/>
      <c r="M96" s="3"/>
      <c r="N96" s="3"/>
      <c r="O96" s="3"/>
      <c r="P96" s="3"/>
      <c r="Q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</row>
    <row r="97" spans="1:37" thickBot="1">
      <c r="A97" s="59"/>
      <c r="B97" s="60"/>
      <c r="C97" s="59"/>
      <c r="D97" s="64"/>
      <c r="E97" s="60"/>
      <c r="F97" s="228" t="s">
        <v>6</v>
      </c>
      <c r="G97" s="62"/>
      <c r="H97" s="229">
        <f>H86+H90+H96</f>
        <v>449344.04200000002</v>
      </c>
      <c r="I97" s="3"/>
      <c r="J97" s="3"/>
      <c r="K97" s="3"/>
      <c r="M97" s="3"/>
      <c r="N97" s="3"/>
      <c r="O97" s="3"/>
      <c r="P97" s="3"/>
      <c r="Q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</row>
    <row r="98" spans="1:37" ht="16.5" customHeight="1" thickBot="1">
      <c r="A98" s="59"/>
      <c r="B98" s="326"/>
      <c r="C98" s="326"/>
      <c r="D98" s="326"/>
      <c r="E98" s="327" t="s">
        <v>167</v>
      </c>
      <c r="F98" s="328"/>
      <c r="G98" s="329"/>
      <c r="H98" s="191">
        <f>H97*1.2423</f>
        <v>558220.10337659996</v>
      </c>
      <c r="I98" s="3"/>
      <c r="J98" s="3"/>
      <c r="K98" s="3"/>
      <c r="M98" s="3"/>
      <c r="N98" s="3"/>
      <c r="O98" s="3"/>
      <c r="P98" s="3"/>
      <c r="Q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</row>
    <row r="99" spans="1:37" ht="16.5" customHeight="1" thickBot="1">
      <c r="A99" s="59"/>
      <c r="B99" s="193"/>
      <c r="C99" s="193"/>
      <c r="D99" s="193"/>
      <c r="E99" s="199"/>
      <c r="F99" s="199"/>
      <c r="G99" s="199"/>
      <c r="H99" s="200"/>
      <c r="I99" s="3"/>
      <c r="J99" s="3"/>
      <c r="K99" s="3"/>
      <c r="M99" s="3"/>
      <c r="N99" s="3"/>
      <c r="O99" s="3"/>
      <c r="P99" s="3"/>
      <c r="Q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</row>
    <row r="100" spans="1:37" ht="16.5" customHeight="1" thickBot="1">
      <c r="A100" s="59"/>
      <c r="B100" s="193"/>
      <c r="C100" s="193"/>
      <c r="D100" s="193"/>
      <c r="E100" s="327" t="s">
        <v>180</v>
      </c>
      <c r="F100" s="328"/>
      <c r="G100" s="329"/>
      <c r="H100" s="191">
        <f>H98+H77+H56</f>
        <v>1449146.8054780501</v>
      </c>
      <c r="I100" s="3"/>
      <c r="J100" s="3"/>
      <c r="K100" s="3"/>
      <c r="M100" s="3"/>
      <c r="N100" s="3"/>
      <c r="O100" s="3"/>
      <c r="P100" s="3"/>
      <c r="Q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</row>
    <row r="101" spans="1:37" ht="16.5" customHeight="1" thickBot="1">
      <c r="A101" s="59"/>
      <c r="B101" s="193"/>
      <c r="C101" s="193"/>
      <c r="D101" s="193"/>
      <c r="E101" s="189" t="s">
        <v>168</v>
      </c>
      <c r="F101" s="190"/>
      <c r="G101" s="190"/>
      <c r="H101" s="192">
        <v>645234</v>
      </c>
      <c r="I101" s="3"/>
      <c r="J101" s="3"/>
      <c r="K101" s="3"/>
      <c r="M101" s="3"/>
      <c r="N101" s="3"/>
      <c r="O101" s="3"/>
      <c r="P101" s="3"/>
      <c r="Q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</row>
    <row r="102" spans="1:37" ht="16.5" customHeight="1" thickBot="1">
      <c r="A102" s="59"/>
      <c r="B102" s="193"/>
      <c r="C102" s="193"/>
      <c r="D102" s="193"/>
      <c r="E102" s="202" t="s">
        <v>168</v>
      </c>
      <c r="F102" s="203"/>
      <c r="G102" s="203"/>
      <c r="H102" s="204">
        <f>H100+H101</f>
        <v>2094380.8054780501</v>
      </c>
      <c r="I102" s="3"/>
      <c r="J102" s="3"/>
      <c r="K102" s="3"/>
      <c r="M102" s="3"/>
      <c r="N102" s="3"/>
      <c r="O102" s="3"/>
      <c r="P102" s="3"/>
      <c r="Q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</row>
    <row r="103" spans="1:37" ht="16.5" customHeight="1">
      <c r="A103" s="59"/>
      <c r="B103" s="193"/>
      <c r="C103" s="193"/>
      <c r="D103" s="193"/>
      <c r="E103" s="199"/>
      <c r="F103" s="199"/>
      <c r="G103" s="199"/>
      <c r="H103" s="200"/>
      <c r="I103" s="3"/>
      <c r="J103" s="3"/>
      <c r="K103" s="3"/>
      <c r="M103" s="3"/>
      <c r="N103" s="3"/>
      <c r="O103" s="3"/>
      <c r="P103" s="3"/>
      <c r="Q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</row>
    <row r="104" spans="1:37" ht="16.5" customHeight="1">
      <c r="A104" s="59"/>
      <c r="B104" s="224" t="s">
        <v>191</v>
      </c>
      <c r="C104" s="193"/>
      <c r="D104" s="193"/>
      <c r="E104" s="199"/>
      <c r="F104" s="199"/>
      <c r="G104" s="199"/>
      <c r="H104" s="200"/>
      <c r="I104" s="3"/>
      <c r="J104" s="3"/>
      <c r="K104" s="3"/>
      <c r="M104" s="3"/>
      <c r="N104" s="3"/>
      <c r="O104" s="3"/>
      <c r="P104" s="3"/>
      <c r="Q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</row>
    <row r="105" spans="1:37" s="82" customFormat="1" ht="15.75" customHeight="1">
      <c r="A105" s="80"/>
      <c r="B105" s="224"/>
      <c r="C105" s="224"/>
      <c r="D105" s="224"/>
      <c r="E105" s="224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</row>
    <row r="106" spans="1:37" s="82" customFormat="1" ht="15.75">
      <c r="A106" s="80"/>
      <c r="B106" s="80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</row>
    <row r="107" spans="1:37" s="82" customFormat="1" ht="15.75">
      <c r="A107" s="80"/>
      <c r="B107" s="80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</row>
    <row r="108" spans="1:37" s="82" customFormat="1">
      <c r="A108" s="225"/>
      <c r="B108" s="225"/>
      <c r="C108" s="225"/>
      <c r="D108" s="205" t="s">
        <v>89</v>
      </c>
      <c r="E108" s="225"/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</row>
    <row r="109" spans="1:37" s="82" customFormat="1">
      <c r="A109" s="225"/>
      <c r="B109" s="225"/>
      <c r="C109" s="225"/>
      <c r="D109" s="205" t="s">
        <v>90</v>
      </c>
      <c r="E109" s="225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</row>
    <row r="110" spans="1:37" s="82" customFormat="1">
      <c r="A110" s="225"/>
      <c r="B110" s="225"/>
      <c r="C110" s="225"/>
      <c r="D110" s="227" t="s">
        <v>220</v>
      </c>
      <c r="E110" s="225"/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</row>
    <row r="111" spans="1:37">
      <c r="D111" s="227" t="s">
        <v>221</v>
      </c>
    </row>
  </sheetData>
  <mergeCells count="18">
    <mergeCell ref="G58:H58"/>
    <mergeCell ref="A58:F58"/>
    <mergeCell ref="G79:H79"/>
    <mergeCell ref="A79:F79"/>
    <mergeCell ref="B98:D98"/>
    <mergeCell ref="E98:G98"/>
    <mergeCell ref="E100:G100"/>
    <mergeCell ref="D75:G75"/>
    <mergeCell ref="E77:G77"/>
    <mergeCell ref="A6:H6"/>
    <mergeCell ref="D54:G54"/>
    <mergeCell ref="D29:G29"/>
    <mergeCell ref="B56:D56"/>
    <mergeCell ref="E56:G56"/>
    <mergeCell ref="G35:H35"/>
    <mergeCell ref="A35:F35"/>
    <mergeCell ref="G8:H8"/>
    <mergeCell ref="A8:F8"/>
  </mergeCells>
  <printOptions horizontalCentered="1" gridLines="1"/>
  <pageMargins left="0.19685039370078741" right="0.19685039370078741" top="2.0472440944881889" bottom="0.59055118110236227" header="0.35433070866141736" footer="0.19685039370078741"/>
  <pageSetup paperSize="9" scale="90" orientation="landscape" r:id="rId1"/>
  <headerFooter scaleWithDoc="0" alignWithMargins="0">
    <oddHeader>&amp;C&amp;G</oddHeader>
    <oddFooter>&amp;RPágina &amp;P 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3"/>
  <sheetViews>
    <sheetView showZeros="0" tabSelected="1" topLeftCell="A52" zoomScaleSheetLayoutView="100" workbookViewId="0">
      <selection activeCell="C69" sqref="C69"/>
    </sheetView>
  </sheetViews>
  <sheetFormatPr defaultRowHeight="15"/>
  <cols>
    <col min="1" max="1" width="12.140625" style="10" customWidth="1"/>
    <col min="2" max="2" width="18.5703125" style="3" customWidth="1"/>
    <col min="3" max="3" width="50.7109375" style="4" customWidth="1"/>
    <col min="4" max="7" width="11.5703125" style="4" bestFit="1" customWidth="1"/>
    <col min="8" max="8" width="10.42578125" style="4" bestFit="1" customWidth="1"/>
    <col min="9" max="9" width="12.7109375" style="3" bestFit="1" customWidth="1"/>
    <col min="10" max="16384" width="9.140625" style="3"/>
  </cols>
  <sheetData>
    <row r="1" spans="1:8" ht="21" customHeight="1">
      <c r="A1" s="342" t="s">
        <v>181</v>
      </c>
      <c r="B1" s="343"/>
      <c r="C1" s="344"/>
    </row>
    <row r="2" spans="1:8" ht="22.5" customHeight="1" thickBot="1">
      <c r="A2" s="345" t="s">
        <v>182</v>
      </c>
      <c r="B2" s="346"/>
      <c r="C2" s="347"/>
    </row>
    <row r="3" spans="1:8" ht="12" customHeight="1" thickBot="1">
      <c r="A3" s="348"/>
      <c r="B3" s="349"/>
      <c r="C3" s="349"/>
      <c r="D3" s="3"/>
      <c r="E3" s="3"/>
      <c r="F3" s="3"/>
      <c r="G3" s="3"/>
      <c r="H3" s="3"/>
    </row>
    <row r="4" spans="1:8" s="1" customFormat="1" ht="20.25" customHeight="1">
      <c r="A4" s="45" t="s">
        <v>38</v>
      </c>
      <c r="B4" s="46" t="s">
        <v>39</v>
      </c>
      <c r="C4" s="47" t="s">
        <v>40</v>
      </c>
      <c r="D4" s="5"/>
      <c r="E4" s="5"/>
      <c r="F4" s="5"/>
      <c r="G4" s="5"/>
      <c r="H4" s="5"/>
    </row>
    <row r="5" spans="1:8" s="1" customFormat="1" ht="19.5" customHeight="1">
      <c r="A5" s="50" t="str">
        <f>'ANEXO 15  PLANILHA CUSTO'!$A$10</f>
        <v>1.1</v>
      </c>
      <c r="B5" s="44" t="str">
        <f>'ANEXO 15  PLANILHA CUSTO'!$C$10</f>
        <v>02.08.02</v>
      </c>
      <c r="C5" s="304" t="str">
        <f>'ANEXO 15  PLANILHA CUSTO'!$D$10</f>
        <v>Placa de identificação para obra - Recuso do DADE</v>
      </c>
      <c r="D5" s="5"/>
      <c r="E5" s="5"/>
      <c r="F5" s="5"/>
      <c r="G5" s="5"/>
      <c r="H5" s="5"/>
    </row>
    <row r="6" spans="1:8" s="1" customFormat="1" ht="25.5" customHeight="1" thickBot="1">
      <c r="A6" s="350" t="s">
        <v>183</v>
      </c>
      <c r="B6" s="351"/>
      <c r="C6" s="352"/>
      <c r="D6" s="5"/>
      <c r="E6" s="5"/>
      <c r="F6" s="5"/>
      <c r="G6" s="5"/>
      <c r="H6" s="5"/>
    </row>
    <row r="7" spans="1:8" ht="12" customHeight="1" thickBot="1">
      <c r="A7" s="337"/>
      <c r="B7" s="338"/>
      <c r="C7" s="338"/>
      <c r="D7" s="3"/>
      <c r="E7" s="3"/>
      <c r="F7" s="3"/>
      <c r="G7" s="3"/>
      <c r="H7" s="3"/>
    </row>
    <row r="8" spans="1:8" s="1" customFormat="1" ht="22.5" customHeight="1">
      <c r="A8" s="45" t="s">
        <v>38</v>
      </c>
      <c r="B8" s="74" t="s">
        <v>39</v>
      </c>
      <c r="C8" s="47" t="s">
        <v>40</v>
      </c>
      <c r="D8" s="5"/>
      <c r="E8" s="5"/>
      <c r="F8" s="5"/>
      <c r="G8" s="5"/>
      <c r="H8" s="5"/>
    </row>
    <row r="9" spans="1:8" s="1" customFormat="1" ht="25.5" customHeight="1">
      <c r="A9" s="48" t="str">
        <f>'ANEXO 15  PLANILHA CUSTO'!$A$13</f>
        <v>2.1</v>
      </c>
      <c r="B9" s="40" t="str">
        <f>'ANEXO 15  PLANILHA CUSTO'!$C$13</f>
        <v>54.01.410</v>
      </c>
      <c r="C9" s="49" t="str">
        <f>'ANEXO 15  PLANILHA CUSTO'!$D$13</f>
        <v>Varrição de pavimento para recapeamento</v>
      </c>
      <c r="D9" s="5"/>
      <c r="E9" s="5"/>
      <c r="F9" s="5"/>
      <c r="G9" s="5"/>
      <c r="H9" s="5"/>
    </row>
    <row r="10" spans="1:8" s="1" customFormat="1" ht="34.5" customHeight="1" thickBot="1">
      <c r="A10" s="334" t="s">
        <v>184</v>
      </c>
      <c r="B10" s="335"/>
      <c r="C10" s="336"/>
      <c r="D10" s="5"/>
      <c r="E10" s="5"/>
      <c r="F10" s="5"/>
      <c r="G10" s="5"/>
      <c r="H10" s="5"/>
    </row>
    <row r="11" spans="1:8" ht="12" customHeight="1" thickBot="1">
      <c r="A11" s="337"/>
      <c r="B11" s="338"/>
      <c r="C11" s="338"/>
      <c r="D11" s="3"/>
      <c r="E11" s="3"/>
      <c r="F11" s="3"/>
      <c r="G11" s="3"/>
      <c r="H11" s="3"/>
    </row>
    <row r="12" spans="1:8" s="1" customFormat="1" ht="24.75" customHeight="1">
      <c r="A12" s="45" t="s">
        <v>38</v>
      </c>
      <c r="B12" s="46" t="s">
        <v>39</v>
      </c>
      <c r="C12" s="47" t="s">
        <v>40</v>
      </c>
      <c r="D12" s="5"/>
      <c r="E12" s="5"/>
      <c r="F12" s="5"/>
      <c r="G12" s="5"/>
      <c r="H12" s="5"/>
    </row>
    <row r="13" spans="1:8" s="1" customFormat="1" ht="22.5" customHeight="1">
      <c r="A13" s="48" t="str">
        <f>'ANEXO 15  PLANILHA CUSTO'!$A$14</f>
        <v>2.2</v>
      </c>
      <c r="B13" s="40" t="str">
        <f>'ANEXO 15  PLANILHA CUSTO'!$C$13</f>
        <v>54.01.410</v>
      </c>
      <c r="C13" s="49" t="str">
        <f>'ANEXO 15  PLANILHA CUSTO'!$D$14</f>
        <v>Imprimação betuminosa ligante</v>
      </c>
      <c r="D13" s="5"/>
      <c r="E13" s="5"/>
      <c r="F13" s="5"/>
      <c r="G13" s="5"/>
      <c r="H13" s="5"/>
    </row>
    <row r="14" spans="1:8" s="1" customFormat="1" ht="31.5" customHeight="1" thickBot="1">
      <c r="A14" s="334" t="s">
        <v>184</v>
      </c>
      <c r="B14" s="335"/>
      <c r="C14" s="336"/>
      <c r="D14" s="5"/>
      <c r="E14" s="5"/>
      <c r="F14" s="5"/>
      <c r="G14" s="5"/>
      <c r="H14" s="5"/>
    </row>
    <row r="15" spans="1:8" ht="12" customHeight="1" thickBot="1">
      <c r="A15" s="337"/>
      <c r="B15" s="338"/>
      <c r="C15" s="338"/>
      <c r="D15" s="3"/>
      <c r="E15" s="3"/>
      <c r="F15" s="3"/>
      <c r="G15" s="3"/>
      <c r="H15" s="3"/>
    </row>
    <row r="16" spans="1:8" ht="25.5">
      <c r="A16" s="45" t="s">
        <v>38</v>
      </c>
      <c r="B16" s="46" t="s">
        <v>39</v>
      </c>
      <c r="C16" s="47" t="s">
        <v>40</v>
      </c>
    </row>
    <row r="17" spans="1:8" ht="27" customHeight="1">
      <c r="A17" s="48" t="str">
        <f>'ANEXO 15  PLANILHA CUSTO'!$A$15</f>
        <v>2.3</v>
      </c>
      <c r="B17" s="40" t="str">
        <f>'ANEXO 15  PLANILHA CUSTO'!$C$15</f>
        <v>54.03.210</v>
      </c>
      <c r="C17" s="49" t="str">
        <f>'ANEXO 15  PLANILHA CUSTO'!$D$15</f>
        <v>Camada de rolamento em concreto betuminoso usinado quente - CBUQ</v>
      </c>
    </row>
    <row r="18" spans="1:8" ht="33" customHeight="1" thickBot="1">
      <c r="A18" s="334" t="s">
        <v>185</v>
      </c>
      <c r="B18" s="335"/>
      <c r="C18" s="336"/>
    </row>
    <row r="19" spans="1:8" ht="12" customHeight="1" thickBot="1">
      <c r="A19" s="337"/>
      <c r="B19" s="338"/>
      <c r="C19" s="338"/>
      <c r="D19" s="3"/>
      <c r="E19" s="3"/>
      <c r="F19" s="3"/>
      <c r="G19" s="3"/>
      <c r="H19" s="3"/>
    </row>
    <row r="20" spans="1:8" ht="25.5">
      <c r="A20" s="45" t="s">
        <v>38</v>
      </c>
      <c r="B20" s="46" t="s">
        <v>39</v>
      </c>
      <c r="C20" s="47" t="s">
        <v>40</v>
      </c>
    </row>
    <row r="21" spans="1:8" ht="27" customHeight="1">
      <c r="A21" s="48" t="s">
        <v>169</v>
      </c>
      <c r="B21" s="198">
        <v>95875</v>
      </c>
      <c r="C21" s="49" t="s">
        <v>171</v>
      </c>
    </row>
    <row r="22" spans="1:8" ht="33" customHeight="1" thickBot="1">
      <c r="A22" s="334" t="s">
        <v>186</v>
      </c>
      <c r="B22" s="335"/>
      <c r="C22" s="336"/>
    </row>
    <row r="23" spans="1:8" ht="12" customHeight="1" thickBot="1">
      <c r="A23" s="194"/>
      <c r="B23" s="195"/>
      <c r="C23" s="195"/>
      <c r="D23" s="3"/>
      <c r="E23" s="3"/>
      <c r="F23" s="3"/>
      <c r="G23" s="3"/>
      <c r="H23" s="3"/>
    </row>
    <row r="24" spans="1:8" ht="25.5">
      <c r="A24" s="45" t="s">
        <v>38</v>
      </c>
      <c r="B24" s="46" t="s">
        <v>39</v>
      </c>
      <c r="C24" s="47" t="s">
        <v>40</v>
      </c>
    </row>
    <row r="25" spans="1:8" ht="27" customHeight="1">
      <c r="A25" s="48" t="s">
        <v>176</v>
      </c>
      <c r="B25" s="198">
        <v>72891</v>
      </c>
      <c r="C25" s="49" t="s">
        <v>174</v>
      </c>
    </row>
    <row r="26" spans="1:8" ht="33" customHeight="1" thickBot="1">
      <c r="A26" s="334" t="s">
        <v>185</v>
      </c>
      <c r="B26" s="335"/>
      <c r="C26" s="336"/>
    </row>
    <row r="27" spans="1:8" ht="12" customHeight="1" thickBot="1">
      <c r="A27" s="337"/>
      <c r="B27" s="338"/>
      <c r="C27" s="338"/>
      <c r="D27" s="3"/>
      <c r="E27" s="3"/>
      <c r="F27" s="3"/>
      <c r="G27" s="3"/>
      <c r="H27" s="3"/>
    </row>
    <row r="28" spans="1:8" ht="25.5" customHeight="1">
      <c r="A28" s="45" t="s">
        <v>38</v>
      </c>
      <c r="B28" s="46" t="s">
        <v>39</v>
      </c>
      <c r="C28" s="47" t="s">
        <v>40</v>
      </c>
    </row>
    <row r="29" spans="1:8" ht="32.25" customHeight="1">
      <c r="A29" s="48" t="s">
        <v>63</v>
      </c>
      <c r="B29" s="53">
        <v>72947</v>
      </c>
      <c r="C29" s="49" t="str">
        <f>'ANEXO 15  PLANILHA CUSTO'!$D$19</f>
        <v xml:space="preserve">SINALIZAÇÃO HORIZONTAL (faixa de pedestre e divisor de sentido de tráfego) </v>
      </c>
    </row>
    <row r="30" spans="1:8" ht="30" customHeight="1" thickBot="1">
      <c r="A30" s="334" t="s">
        <v>187</v>
      </c>
      <c r="B30" s="335"/>
      <c r="C30" s="336"/>
    </row>
    <row r="31" spans="1:8" ht="15.75" customHeight="1" thickBot="1">
      <c r="A31" s="337"/>
      <c r="B31" s="338"/>
      <c r="C31" s="338"/>
      <c r="D31" s="3"/>
      <c r="E31" s="3"/>
      <c r="F31" s="3"/>
      <c r="G31" s="3"/>
      <c r="H31" s="3"/>
    </row>
    <row r="32" spans="1:8" ht="25.5" customHeight="1">
      <c r="A32" s="45" t="s">
        <v>38</v>
      </c>
      <c r="B32" s="46" t="s">
        <v>39</v>
      </c>
      <c r="C32" s="47" t="s">
        <v>40</v>
      </c>
    </row>
    <row r="33" spans="1:8" ht="37.5" customHeight="1">
      <c r="A33" s="48" t="s">
        <v>64</v>
      </c>
      <c r="B33" s="53">
        <v>72947</v>
      </c>
      <c r="C33" s="49" t="str">
        <f>'ANEXO 15  PLANILHA CUSTO'!D21</f>
        <v>Sinalização horizontal com tinta retrorreflexiva a base de resina acrílica com microesferas de vidro -Faixa de pedestre</v>
      </c>
    </row>
    <row r="34" spans="1:8" ht="32.25" customHeight="1" thickBot="1">
      <c r="A34" s="334" t="s">
        <v>188</v>
      </c>
      <c r="B34" s="335"/>
      <c r="C34" s="336"/>
    </row>
    <row r="35" spans="1:8" ht="12" customHeight="1" thickBot="1">
      <c r="A35" s="42"/>
      <c r="B35" s="43"/>
      <c r="C35" s="43"/>
    </row>
    <row r="36" spans="1:8" ht="20.25" customHeight="1">
      <c r="A36" s="45" t="s">
        <v>38</v>
      </c>
      <c r="B36" s="46" t="s">
        <v>39</v>
      </c>
      <c r="C36" s="47" t="s">
        <v>40</v>
      </c>
    </row>
    <row r="37" spans="1:8" ht="27.75" customHeight="1">
      <c r="A37" s="48" t="s">
        <v>11</v>
      </c>
      <c r="B37" s="41" t="s">
        <v>43</v>
      </c>
      <c r="C37" s="49" t="str">
        <f>'ANEXO 15  PLANILHA CUSTO'!D24</f>
        <v>Demolição manual de concreto simples - calçada existente</v>
      </c>
    </row>
    <row r="38" spans="1:8" ht="30.75" customHeight="1" thickBot="1">
      <c r="A38" s="334" t="s">
        <v>189</v>
      </c>
      <c r="B38" s="335"/>
      <c r="C38" s="336"/>
    </row>
    <row r="39" spans="1:8" ht="12" customHeight="1" thickBot="1">
      <c r="A39" s="337"/>
      <c r="B39" s="338"/>
      <c r="C39" s="338"/>
      <c r="D39" s="3"/>
      <c r="E39" s="3"/>
      <c r="F39" s="3"/>
      <c r="G39" s="3"/>
      <c r="H39" s="3"/>
    </row>
    <row r="40" spans="1:8" ht="20.25" customHeight="1">
      <c r="A40" s="45" t="s">
        <v>38</v>
      </c>
      <c r="B40" s="46" t="s">
        <v>39</v>
      </c>
      <c r="C40" s="47" t="s">
        <v>40</v>
      </c>
    </row>
    <row r="41" spans="1:8" ht="33" customHeight="1">
      <c r="A41" s="48" t="s">
        <v>48</v>
      </c>
      <c r="B41" s="41" t="s">
        <v>45</v>
      </c>
      <c r="C41" s="49" t="str">
        <f>'ANEXO 15  PLANILHA CUSTO'!D25</f>
        <v>Transporte de entulho, para distâncias superiores ao 5° km até o 10° km - 6,20km</v>
      </c>
    </row>
    <row r="42" spans="1:8" ht="27.75" customHeight="1" thickBot="1">
      <c r="A42" s="334" t="s">
        <v>189</v>
      </c>
      <c r="B42" s="335"/>
      <c r="C42" s="336"/>
    </row>
    <row r="43" spans="1:8" ht="19.5" customHeight="1" thickBot="1">
      <c r="A43" s="42"/>
      <c r="B43" s="43"/>
      <c r="C43" s="43"/>
    </row>
    <row r="44" spans="1:8" ht="19.5" customHeight="1" thickBot="1">
      <c r="A44" s="159" t="s">
        <v>38</v>
      </c>
      <c r="B44" s="161" t="s">
        <v>39</v>
      </c>
      <c r="C44" s="305" t="s">
        <v>40</v>
      </c>
    </row>
    <row r="45" spans="1:8" ht="33.75" customHeight="1">
      <c r="A45" s="159" t="s">
        <v>51</v>
      </c>
      <c r="B45" s="160">
        <v>94991</v>
      </c>
      <c r="C45" s="306" t="s">
        <v>60</v>
      </c>
    </row>
    <row r="46" spans="1:8" ht="28.5" customHeight="1" thickBot="1">
      <c r="A46" s="334" t="s">
        <v>155</v>
      </c>
      <c r="B46" s="340"/>
      <c r="C46" s="341"/>
    </row>
    <row r="47" spans="1:8" ht="12" customHeight="1" thickBot="1">
      <c r="A47" s="337"/>
      <c r="B47" s="338"/>
      <c r="C47" s="338"/>
      <c r="D47" s="3"/>
      <c r="E47" s="3"/>
      <c r="F47" s="3"/>
      <c r="G47" s="3"/>
      <c r="H47" s="3"/>
    </row>
    <row r="48" spans="1:8" ht="20.25" hidden="1" customHeight="1">
      <c r="A48" s="45" t="s">
        <v>38</v>
      </c>
      <c r="B48" s="46" t="s">
        <v>39</v>
      </c>
      <c r="C48" s="47" t="s">
        <v>40</v>
      </c>
    </row>
    <row r="49" spans="1:4" ht="33" hidden="1" customHeight="1">
      <c r="A49" s="48" t="s">
        <v>51</v>
      </c>
      <c r="B49" s="41" t="e">
        <f>'ANEXO 15  PLANILHA CUSTO'!#REF!</f>
        <v>#REF!</v>
      </c>
      <c r="C49" s="49" t="e">
        <f>'ANEXO 15  PLANILHA CUSTO'!#REF!</f>
        <v>#REF!</v>
      </c>
    </row>
    <row r="50" spans="1:4" ht="39.75" hidden="1" customHeight="1" thickBot="1">
      <c r="A50" s="67" t="s">
        <v>59</v>
      </c>
      <c r="B50" s="75"/>
      <c r="C50" s="76"/>
    </row>
    <row r="51" spans="1:4" ht="24" hidden="1" customHeight="1" thickBot="1">
      <c r="A51" s="42"/>
      <c r="B51" s="43"/>
      <c r="C51" s="43"/>
    </row>
    <row r="52" spans="1:4" ht="20.25" customHeight="1">
      <c r="A52" s="45" t="s">
        <v>38</v>
      </c>
      <c r="B52" s="52" t="s">
        <v>39</v>
      </c>
      <c r="C52" s="307" t="s">
        <v>40</v>
      </c>
    </row>
    <row r="53" spans="1:4" ht="33" customHeight="1">
      <c r="A53" s="68" t="s">
        <v>50</v>
      </c>
      <c r="B53" s="69" t="s">
        <v>53</v>
      </c>
      <c r="C53" s="308" t="s">
        <v>52</v>
      </c>
    </row>
    <row r="54" spans="1:4" ht="32.25" customHeight="1" thickBot="1">
      <c r="A54" s="339" t="s">
        <v>190</v>
      </c>
      <c r="B54" s="340"/>
      <c r="C54" s="341"/>
    </row>
    <row r="55" spans="1:4" ht="24" customHeight="1">
      <c r="A55" s="323"/>
      <c r="B55" s="323"/>
      <c r="C55" s="323"/>
    </row>
    <row r="56" spans="1:4" ht="14.25" customHeight="1">
      <c r="A56" s="3"/>
      <c r="B56" s="323" t="s">
        <v>191</v>
      </c>
      <c r="C56" s="323"/>
    </row>
    <row r="57" spans="1:4" ht="15" customHeight="1">
      <c r="A57" s="9"/>
      <c r="B57" s="226"/>
      <c r="C57" s="226"/>
    </row>
    <row r="58" spans="1:4" ht="15" customHeight="1">
      <c r="A58" s="9"/>
      <c r="B58" s="226"/>
      <c r="C58" s="226"/>
    </row>
    <row r="59" spans="1:4" ht="15" customHeight="1">
      <c r="A59" s="9"/>
      <c r="B59" s="226"/>
      <c r="C59" s="226"/>
    </row>
    <row r="60" spans="1:4" ht="15" customHeight="1">
      <c r="B60" s="419" t="s">
        <v>93</v>
      </c>
      <c r="C60" s="419"/>
      <c r="D60" s="9"/>
    </row>
    <row r="61" spans="1:4" ht="15" customHeight="1">
      <c r="B61" s="420" t="s">
        <v>94</v>
      </c>
      <c r="C61" s="420"/>
      <c r="D61" s="9"/>
    </row>
    <row r="62" spans="1:4">
      <c r="B62" s="416" t="s">
        <v>222</v>
      </c>
      <c r="C62" s="416"/>
      <c r="D62" s="9"/>
    </row>
    <row r="63" spans="1:4">
      <c r="B63" s="418" t="s">
        <v>223</v>
      </c>
      <c r="C63" s="418"/>
    </row>
  </sheetData>
  <mergeCells count="29">
    <mergeCell ref="B56:C56"/>
    <mergeCell ref="B60:C60"/>
    <mergeCell ref="B61:C61"/>
    <mergeCell ref="B62:C62"/>
    <mergeCell ref="B63:C63"/>
    <mergeCell ref="A1:C1"/>
    <mergeCell ref="A2:C2"/>
    <mergeCell ref="A39:C39"/>
    <mergeCell ref="A47:C47"/>
    <mergeCell ref="A7:C7"/>
    <mergeCell ref="A11:C11"/>
    <mergeCell ref="A15:C15"/>
    <mergeCell ref="A19:C19"/>
    <mergeCell ref="A27:C27"/>
    <mergeCell ref="A3:C3"/>
    <mergeCell ref="A30:C30"/>
    <mergeCell ref="A38:C38"/>
    <mergeCell ref="A6:C6"/>
    <mergeCell ref="A10:C10"/>
    <mergeCell ref="A14:C14"/>
    <mergeCell ref="A18:C18"/>
    <mergeCell ref="A34:C34"/>
    <mergeCell ref="A31:C31"/>
    <mergeCell ref="A42:C42"/>
    <mergeCell ref="A54:C54"/>
    <mergeCell ref="A46:C46"/>
    <mergeCell ref="A55:C55"/>
    <mergeCell ref="A22:C22"/>
    <mergeCell ref="A26:C26"/>
  </mergeCells>
  <printOptions horizontalCentered="1" gridLines="1"/>
  <pageMargins left="0.78740157480314965" right="0.39370078740157483" top="1.8897637795275593" bottom="0.55118110236220474" header="0.11811023622047245" footer="0.15748031496062992"/>
  <pageSetup paperSize="9" scale="95" orientation="portrait" r:id="rId1"/>
  <headerFooter scaleWithDoc="0" alignWithMargins="0">
    <oddHeader>&amp;C&amp;G</oddHeader>
    <oddFooter>&amp;RPágina &amp;P  de &amp;N</oddFooter>
  </headerFooter>
  <legacyDrawing r:id="rId2"/>
  <legacyDrawingHF r:id="rId3"/>
  <oleObjects>
    <oleObject progId="CDraw4" shapeId="2049" r:id="rId4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P68"/>
  <sheetViews>
    <sheetView topLeftCell="A40" workbookViewId="0">
      <selection activeCell="P62" sqref="P62"/>
    </sheetView>
  </sheetViews>
  <sheetFormatPr defaultColWidth="22.42578125" defaultRowHeight="15.75"/>
  <cols>
    <col min="1" max="1" width="4.42578125" style="77" customWidth="1"/>
    <col min="2" max="2" width="26.28515625" style="83" customWidth="1"/>
    <col min="3" max="3" width="0" style="84" hidden="1" customWidth="1"/>
    <col min="4" max="4" width="12.28515625" style="84" customWidth="1"/>
    <col min="5" max="5" width="12.85546875" style="84" customWidth="1"/>
    <col min="6" max="7" width="12.5703125" style="84" customWidth="1"/>
    <col min="8" max="8" width="12.85546875" style="84" customWidth="1"/>
    <col min="9" max="9" width="13.140625" style="84" customWidth="1"/>
    <col min="10" max="10" width="11.7109375" style="84" customWidth="1"/>
    <col min="11" max="11" width="12.140625" style="84" customWidth="1"/>
    <col min="12" max="15" width="16.7109375" style="84" hidden="1" customWidth="1"/>
    <col min="16" max="16" width="13.7109375" style="79" customWidth="1"/>
    <col min="17" max="16384" width="22.42578125" style="77"/>
  </cols>
  <sheetData>
    <row r="1" spans="1:16" s="78" customFormat="1" ht="15">
      <c r="A1" s="23" t="s">
        <v>95</v>
      </c>
      <c r="B1" s="24"/>
      <c r="C1" s="24"/>
      <c r="D1" s="24"/>
      <c r="E1" s="106"/>
      <c r="F1" s="24"/>
      <c r="G1" s="24"/>
      <c r="H1" s="106"/>
      <c r="I1" s="24"/>
      <c r="J1" s="24"/>
      <c r="K1" s="24"/>
      <c r="L1" s="24"/>
      <c r="M1" s="106" t="s">
        <v>18</v>
      </c>
      <c r="N1" s="24"/>
      <c r="O1" s="24"/>
      <c r="P1" s="107"/>
    </row>
    <row r="2" spans="1:16" ht="15">
      <c r="A2" s="27" t="s">
        <v>96</v>
      </c>
      <c r="B2" s="32"/>
      <c r="C2" s="32"/>
      <c r="D2" s="25"/>
      <c r="E2" s="105"/>
      <c r="F2" s="30"/>
      <c r="G2" s="26"/>
      <c r="H2" s="105"/>
      <c r="I2" s="32"/>
      <c r="J2" s="32"/>
      <c r="K2" s="32"/>
      <c r="L2" s="25"/>
      <c r="M2" s="105" t="s">
        <v>66</v>
      </c>
      <c r="N2" s="30"/>
      <c r="O2" s="26"/>
      <c r="P2" s="108"/>
    </row>
    <row r="3" spans="1:16" ht="15">
      <c r="A3" s="35" t="s">
        <v>37</v>
      </c>
      <c r="B3" s="33"/>
      <c r="C3" s="38" t="s">
        <v>47</v>
      </c>
      <c r="D3" s="38"/>
      <c r="E3" s="37"/>
      <c r="F3" s="37"/>
      <c r="G3" s="37"/>
      <c r="H3" s="37"/>
      <c r="I3" s="33"/>
      <c r="J3" s="33"/>
      <c r="K3" s="38"/>
      <c r="L3" s="38" t="s">
        <v>47</v>
      </c>
      <c r="M3" s="37" t="s">
        <v>19</v>
      </c>
      <c r="N3" s="37"/>
      <c r="O3" s="37"/>
      <c r="P3" s="109"/>
    </row>
    <row r="4" spans="1:16">
      <c r="A4" s="365"/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</row>
    <row r="5" spans="1:16" ht="18" customHeight="1">
      <c r="A5" s="368" t="s">
        <v>165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70"/>
    </row>
    <row r="6" spans="1:16" s="78" customFormat="1" ht="15">
      <c r="A6" s="207" t="s">
        <v>95</v>
      </c>
      <c r="B6" s="208"/>
      <c r="C6" s="208"/>
      <c r="D6" s="208"/>
      <c r="E6" s="209"/>
      <c r="F6" s="208"/>
      <c r="G6" s="208"/>
      <c r="H6" s="209" t="s">
        <v>204</v>
      </c>
      <c r="I6" s="208"/>
      <c r="J6" s="208"/>
      <c r="K6" s="208"/>
      <c r="L6" s="208"/>
      <c r="M6" s="209" t="s">
        <v>18</v>
      </c>
      <c r="N6" s="208"/>
      <c r="O6" s="208"/>
      <c r="P6" s="210"/>
    </row>
    <row r="7" spans="1:16" ht="15">
      <c r="A7" s="211" t="s">
        <v>96</v>
      </c>
      <c r="B7" s="212"/>
      <c r="C7" s="212"/>
      <c r="D7" s="213"/>
      <c r="E7" s="214"/>
      <c r="F7" s="215"/>
      <c r="G7" s="216"/>
      <c r="H7" s="214" t="s">
        <v>160</v>
      </c>
      <c r="I7" s="212"/>
      <c r="J7" s="212"/>
      <c r="K7" s="212"/>
      <c r="L7" s="213"/>
      <c r="M7" s="214" t="s">
        <v>66</v>
      </c>
      <c r="N7" s="215"/>
      <c r="O7" s="216"/>
      <c r="P7" s="217"/>
    </row>
    <row r="8" spans="1:16" ht="15">
      <c r="A8" s="218" t="s">
        <v>37</v>
      </c>
      <c r="B8" s="219"/>
      <c r="C8" s="220" t="s">
        <v>47</v>
      </c>
      <c r="D8" s="220"/>
      <c r="E8" s="221"/>
      <c r="F8" s="221"/>
      <c r="G8" s="221"/>
      <c r="H8" s="221" t="s">
        <v>213</v>
      </c>
      <c r="I8" s="219"/>
      <c r="J8" s="219"/>
      <c r="K8" s="220"/>
      <c r="L8" s="220" t="s">
        <v>47</v>
      </c>
      <c r="M8" s="221" t="s">
        <v>19</v>
      </c>
      <c r="N8" s="221"/>
      <c r="O8" s="221"/>
      <c r="P8" s="222"/>
    </row>
    <row r="9" spans="1:16">
      <c r="A9" s="365"/>
      <c r="B9" s="365"/>
      <c r="C9" s="365"/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365"/>
      <c r="O9" s="365"/>
      <c r="P9" s="365"/>
    </row>
    <row r="10" spans="1:16" ht="12" customHeight="1">
      <c r="A10" s="85"/>
      <c r="B10" s="86" t="s">
        <v>67</v>
      </c>
      <c r="C10" s="197" t="s">
        <v>68</v>
      </c>
      <c r="D10" s="197" t="s">
        <v>69</v>
      </c>
      <c r="E10" s="197" t="s">
        <v>70</v>
      </c>
      <c r="F10" s="197" t="s">
        <v>71</v>
      </c>
      <c r="G10" s="197" t="s">
        <v>72</v>
      </c>
      <c r="H10" s="197" t="s">
        <v>73</v>
      </c>
      <c r="I10" s="197" t="s">
        <v>74</v>
      </c>
      <c r="J10" s="197" t="s">
        <v>75</v>
      </c>
      <c r="K10" s="197" t="s">
        <v>76</v>
      </c>
      <c r="L10" s="197" t="s">
        <v>77</v>
      </c>
      <c r="M10" s="197" t="s">
        <v>78</v>
      </c>
      <c r="N10" s="197" t="s">
        <v>79</v>
      </c>
      <c r="O10" s="197" t="s">
        <v>80</v>
      </c>
      <c r="P10" s="366" t="s">
        <v>6</v>
      </c>
    </row>
    <row r="11" spans="1:16" ht="12" customHeight="1">
      <c r="A11" s="87" t="s">
        <v>81</v>
      </c>
      <c r="B11" s="88"/>
      <c r="C11" s="89" t="s">
        <v>82</v>
      </c>
      <c r="D11" s="89" t="s">
        <v>83</v>
      </c>
      <c r="E11" s="89">
        <v>60</v>
      </c>
      <c r="F11" s="89">
        <v>90</v>
      </c>
      <c r="G11" s="89">
        <v>120</v>
      </c>
      <c r="H11" s="89">
        <v>150</v>
      </c>
      <c r="I11" s="89">
        <v>180</v>
      </c>
      <c r="J11" s="89">
        <v>210</v>
      </c>
      <c r="K11" s="89">
        <v>240</v>
      </c>
      <c r="L11" s="89">
        <v>270</v>
      </c>
      <c r="M11" s="89">
        <v>300</v>
      </c>
      <c r="N11" s="89">
        <v>330</v>
      </c>
      <c r="O11" s="89">
        <v>360</v>
      </c>
      <c r="P11" s="367"/>
    </row>
    <row r="12" spans="1:16" ht="15" customHeight="1">
      <c r="A12" s="90" t="s">
        <v>84</v>
      </c>
      <c r="B12" s="355" t="s">
        <v>0</v>
      </c>
      <c r="C12" s="91"/>
      <c r="D12" s="91">
        <v>1</v>
      </c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>
        <f>D12+E12+F12+G12+H12</f>
        <v>1</v>
      </c>
    </row>
    <row r="13" spans="1:16" s="79" customFormat="1" ht="15" customHeight="1">
      <c r="A13" s="93"/>
      <c r="B13" s="356"/>
      <c r="C13" s="94"/>
      <c r="D13" s="94">
        <f>P13*100%</f>
        <v>2410.9299999999998</v>
      </c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5">
        <v>2410.9299999999998</v>
      </c>
    </row>
    <row r="14" spans="1:16" s="79" customFormat="1" ht="15" customHeight="1">
      <c r="A14" s="90" t="s">
        <v>85</v>
      </c>
      <c r="B14" s="355" t="s">
        <v>16</v>
      </c>
      <c r="C14" s="91"/>
      <c r="D14" s="91">
        <v>0.3</v>
      </c>
      <c r="E14" s="91">
        <v>0.3</v>
      </c>
      <c r="F14" s="91">
        <v>0.3</v>
      </c>
      <c r="G14" s="91">
        <v>0.1</v>
      </c>
      <c r="H14" s="91"/>
      <c r="I14" s="91"/>
      <c r="J14" s="91"/>
      <c r="K14" s="91"/>
      <c r="L14" s="91"/>
      <c r="M14" s="91"/>
      <c r="N14" s="91"/>
      <c r="O14" s="91"/>
      <c r="P14" s="92">
        <f>D14+E14+F14+G14+H14</f>
        <v>0.99999999999999989</v>
      </c>
    </row>
    <row r="15" spans="1:16" ht="15" customHeight="1">
      <c r="A15" s="93"/>
      <c r="B15" s="356"/>
      <c r="C15" s="94"/>
      <c r="D15" s="94">
        <f>D14*P15</f>
        <v>185221.51500000001</v>
      </c>
      <c r="E15" s="94">
        <f>E14*P15</f>
        <v>185221.51500000001</v>
      </c>
      <c r="F15" s="94">
        <f>F14*P15</f>
        <v>185221.51500000001</v>
      </c>
      <c r="G15" s="94">
        <f>G14*P15</f>
        <v>61740.505000000005</v>
      </c>
      <c r="H15" s="94"/>
      <c r="I15" s="94"/>
      <c r="J15" s="94"/>
      <c r="K15" s="94"/>
      <c r="L15" s="94"/>
      <c r="M15" s="94"/>
      <c r="N15" s="94"/>
      <c r="O15" s="94"/>
      <c r="P15" s="95">
        <v>617405.05000000005</v>
      </c>
    </row>
    <row r="16" spans="1:16" ht="15" customHeight="1">
      <c r="A16" s="90" t="s">
        <v>86</v>
      </c>
      <c r="B16" s="355" t="s">
        <v>54</v>
      </c>
      <c r="C16" s="91"/>
      <c r="D16" s="91"/>
      <c r="E16" s="91"/>
      <c r="F16" s="91"/>
      <c r="G16" s="91">
        <v>1</v>
      </c>
      <c r="H16" s="91"/>
      <c r="I16" s="91"/>
      <c r="J16" s="91"/>
      <c r="K16" s="91"/>
      <c r="L16" s="91"/>
      <c r="M16" s="91"/>
      <c r="N16" s="91"/>
      <c r="O16" s="91"/>
      <c r="P16" s="92">
        <f>D16+E16+F16+G16+H16+I16</f>
        <v>1</v>
      </c>
    </row>
    <row r="17" spans="1:16" ht="15" customHeight="1">
      <c r="A17" s="93"/>
      <c r="B17" s="356"/>
      <c r="C17" s="94"/>
      <c r="D17" s="94"/>
      <c r="E17" s="94"/>
      <c r="F17" s="94"/>
      <c r="G17" s="94">
        <f>G16*P17</f>
        <v>7823.88</v>
      </c>
      <c r="H17" s="94"/>
      <c r="I17" s="94"/>
      <c r="J17" s="96"/>
      <c r="K17" s="94"/>
      <c r="L17" s="94"/>
      <c r="M17" s="94"/>
      <c r="N17" s="94"/>
      <c r="O17" s="94"/>
      <c r="P17" s="95">
        <v>7823.88</v>
      </c>
    </row>
    <row r="18" spans="1:16" ht="15" customHeight="1">
      <c r="A18" s="90" t="s">
        <v>91</v>
      </c>
      <c r="B18" s="355" t="s">
        <v>65</v>
      </c>
      <c r="C18" s="97"/>
      <c r="D18" s="91"/>
      <c r="E18" s="91"/>
      <c r="F18" s="91">
        <v>0.5</v>
      </c>
      <c r="G18" s="91">
        <v>0.5</v>
      </c>
      <c r="H18" s="91"/>
      <c r="I18" s="91"/>
      <c r="J18" s="91"/>
      <c r="K18" s="97"/>
      <c r="L18" s="97"/>
      <c r="M18" s="97"/>
      <c r="N18" s="97"/>
      <c r="O18" s="97"/>
      <c r="P18" s="92">
        <f>D18+E18+F18+G18+H18+I18</f>
        <v>1</v>
      </c>
    </row>
    <row r="19" spans="1:16" ht="15" customHeight="1">
      <c r="A19" s="93"/>
      <c r="B19" s="357"/>
      <c r="C19" s="94"/>
      <c r="D19" s="94"/>
      <c r="E19" s="94"/>
      <c r="F19" s="94">
        <f>F18*P19</f>
        <v>8797.07</v>
      </c>
      <c r="G19" s="94">
        <f>G18*P19</f>
        <v>8797.07</v>
      </c>
      <c r="H19" s="94"/>
      <c r="I19" s="94"/>
      <c r="J19" s="94"/>
      <c r="K19" s="94"/>
      <c r="L19" s="94"/>
      <c r="M19" s="94"/>
      <c r="N19" s="94"/>
      <c r="O19" s="94"/>
      <c r="P19" s="223">
        <v>17594.14</v>
      </c>
    </row>
    <row r="20" spans="1:16" s="79" customFormat="1" ht="12" customHeight="1">
      <c r="A20" s="93"/>
      <c r="B20" s="196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5"/>
    </row>
    <row r="21" spans="1:16" s="79" customFormat="1" ht="20.100000000000001" customHeight="1">
      <c r="A21" s="358" t="s">
        <v>87</v>
      </c>
      <c r="B21" s="359"/>
      <c r="C21" s="98"/>
      <c r="D21" s="98">
        <f>D22/P22</f>
        <v>0.29079751686984873</v>
      </c>
      <c r="E21" s="98">
        <f>E22/P22</f>
        <v>0.28706099647569716</v>
      </c>
      <c r="F21" s="98">
        <f>F22/P22</f>
        <v>0.30069491843269264</v>
      </c>
      <c r="G21" s="98">
        <f>G22/P22</f>
        <v>0.12144656822176141</v>
      </c>
      <c r="H21" s="98"/>
      <c r="I21" s="98"/>
      <c r="J21" s="98"/>
      <c r="K21" s="98"/>
      <c r="L21" s="98" t="e">
        <f>L22/#REF!</f>
        <v>#REF!</v>
      </c>
      <c r="M21" s="98" t="e">
        <f>M22/#REF!</f>
        <v>#REF!</v>
      </c>
      <c r="N21" s="98" t="e">
        <f>N22/#REF!</f>
        <v>#REF!</v>
      </c>
      <c r="O21" s="98" t="e">
        <f>O22/#REF!</f>
        <v>#REF!</v>
      </c>
      <c r="P21" s="99">
        <f>I21+H21+G21+F21+E21+D21</f>
        <v>1</v>
      </c>
    </row>
    <row r="22" spans="1:16" ht="20.100000000000001" customHeight="1">
      <c r="A22" s="360"/>
      <c r="B22" s="361"/>
      <c r="C22" s="100" t="e">
        <f>C13+C15+#REF!+C17+C19+#REF!+#REF!+#REF!+#REF!+#REF!+#REF!+#REF!+C20</f>
        <v>#REF!</v>
      </c>
      <c r="D22" s="100">
        <f>D13+D15+D17+D19</f>
        <v>187632.44500000001</v>
      </c>
      <c r="E22" s="100">
        <f t="shared" ref="E22:G22" si="0">E13+E15+E17+E19</f>
        <v>185221.51500000001</v>
      </c>
      <c r="F22" s="100">
        <f t="shared" si="0"/>
        <v>194018.58500000002</v>
      </c>
      <c r="G22" s="100">
        <f t="shared" si="0"/>
        <v>78361.455000000016</v>
      </c>
      <c r="H22" s="100"/>
      <c r="I22" s="100"/>
      <c r="J22" s="100"/>
      <c r="K22" s="100"/>
      <c r="L22" s="100" t="e">
        <f>L13+L15+#REF!+L17+L19+#REF!+#REF!+#REF!+#REF!+#REF!+#REF!+#REF!+L20</f>
        <v>#REF!</v>
      </c>
      <c r="M22" s="100" t="e">
        <f>M13+M15+#REF!+M17+M19+#REF!+#REF!+#REF!+#REF!+#REF!+#REF!+#REF!+M20</f>
        <v>#REF!</v>
      </c>
      <c r="N22" s="100" t="e">
        <f>N13+N15+#REF!+N17+N19+#REF!+#REF!+#REF!+#REF!+#REF!+#REF!+#REF!+N20</f>
        <v>#REF!</v>
      </c>
      <c r="O22" s="100" t="e">
        <f>O13+O15+#REF!+O17+O19+#REF!+#REF!+#REF!+#REF!+#REF!+#REF!+#REF!+O20</f>
        <v>#REF!</v>
      </c>
      <c r="P22" s="100">
        <f>P13+P15+P17+P19</f>
        <v>645234.00000000012</v>
      </c>
    </row>
    <row r="23" spans="1:16" ht="20.100000000000001" customHeight="1">
      <c r="A23" s="358" t="s">
        <v>88</v>
      </c>
      <c r="B23" s="359"/>
      <c r="C23" s="98"/>
      <c r="D23" s="98">
        <f>D21</f>
        <v>0.29079751686984873</v>
      </c>
      <c r="E23" s="98">
        <f t="shared" ref="E23:G24" si="1">D23+E21</f>
        <v>0.57785851334554583</v>
      </c>
      <c r="F23" s="98">
        <f t="shared" si="1"/>
        <v>0.87855343177823841</v>
      </c>
      <c r="G23" s="98">
        <f t="shared" si="1"/>
        <v>0.99999999999999978</v>
      </c>
      <c r="H23" s="98"/>
      <c r="I23" s="98"/>
      <c r="J23" s="98"/>
      <c r="K23" s="98"/>
      <c r="L23" s="98" t="e">
        <f t="shared" ref="L23:O24" si="2">L21+K23</f>
        <v>#REF!</v>
      </c>
      <c r="M23" s="98" t="e">
        <f t="shared" si="2"/>
        <v>#REF!</v>
      </c>
      <c r="N23" s="98" t="e">
        <f t="shared" si="2"/>
        <v>#REF!</v>
      </c>
      <c r="O23" s="98" t="e">
        <f t="shared" si="2"/>
        <v>#REF!</v>
      </c>
      <c r="P23" s="101"/>
    </row>
    <row r="24" spans="1:16" ht="20.100000000000001" customHeight="1">
      <c r="A24" s="360"/>
      <c r="B24" s="361"/>
      <c r="C24" s="100"/>
      <c r="D24" s="100">
        <f>D22</f>
        <v>187632.44500000001</v>
      </c>
      <c r="E24" s="100">
        <f t="shared" si="1"/>
        <v>372853.96</v>
      </c>
      <c r="F24" s="100">
        <f t="shared" si="1"/>
        <v>566872.54500000004</v>
      </c>
      <c r="G24" s="100">
        <f t="shared" si="1"/>
        <v>645234</v>
      </c>
      <c r="H24" s="100"/>
      <c r="I24" s="100"/>
      <c r="J24" s="100"/>
      <c r="K24" s="100"/>
      <c r="L24" s="100" t="e">
        <f t="shared" si="2"/>
        <v>#REF!</v>
      </c>
      <c r="M24" s="100" t="e">
        <f t="shared" si="2"/>
        <v>#REF!</v>
      </c>
      <c r="N24" s="100" t="e">
        <f t="shared" si="2"/>
        <v>#REF!</v>
      </c>
      <c r="O24" s="100" t="e">
        <f t="shared" si="2"/>
        <v>#REF!</v>
      </c>
      <c r="P24" s="102"/>
    </row>
    <row r="25" spans="1:16" ht="12" customHeight="1">
      <c r="A25" s="80"/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</row>
    <row r="26" spans="1:16" ht="12" customHeight="1">
      <c r="A26" s="80"/>
      <c r="B26" s="80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</row>
    <row r="27" spans="1:16" ht="14.25" customHeight="1">
      <c r="A27" s="80"/>
      <c r="B27" s="354" t="s">
        <v>191</v>
      </c>
      <c r="C27" s="354"/>
      <c r="D27" s="354"/>
      <c r="E27" s="354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</row>
    <row r="28" spans="1:16" ht="12" customHeight="1">
      <c r="A28" s="80"/>
      <c r="B28" s="80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</row>
    <row r="29" spans="1:16" ht="12" customHeight="1">
      <c r="A29" s="80"/>
      <c r="B29" s="80"/>
      <c r="C29" s="81"/>
      <c r="D29" s="81"/>
      <c r="E29" s="81"/>
      <c r="F29" s="81"/>
      <c r="G29" s="353" t="s">
        <v>89</v>
      </c>
      <c r="H29" s="353"/>
      <c r="I29" s="353"/>
      <c r="J29" s="81"/>
      <c r="K29" s="81"/>
      <c r="L29" s="81"/>
      <c r="M29" s="81"/>
      <c r="N29" s="81"/>
      <c r="O29" s="81"/>
      <c r="P29" s="81"/>
    </row>
    <row r="30" spans="1:16" ht="12" customHeight="1">
      <c r="A30" s="80"/>
      <c r="B30" s="225"/>
      <c r="C30" s="225"/>
      <c r="D30" s="225"/>
      <c r="E30" s="225"/>
      <c r="F30" s="225"/>
      <c r="G30" s="353" t="s">
        <v>90</v>
      </c>
      <c r="H30" s="353"/>
      <c r="I30" s="353"/>
      <c r="J30" s="81"/>
      <c r="K30" s="81"/>
      <c r="L30" s="81"/>
      <c r="M30" s="81"/>
      <c r="N30" s="81"/>
      <c r="O30" s="81"/>
      <c r="P30" s="81"/>
    </row>
    <row r="31" spans="1:16" ht="12" customHeight="1">
      <c r="A31" s="80"/>
      <c r="B31" s="225"/>
      <c r="C31" s="225"/>
      <c r="D31" s="225"/>
      <c r="E31" s="225"/>
      <c r="F31" s="225"/>
      <c r="G31" s="353" t="s">
        <v>159</v>
      </c>
      <c r="H31" s="353"/>
      <c r="I31" s="353"/>
      <c r="J31" s="81"/>
      <c r="K31" s="81"/>
      <c r="L31" s="81"/>
      <c r="M31" s="81"/>
      <c r="N31" s="81"/>
      <c r="O31" s="81"/>
      <c r="P31" s="81"/>
    </row>
    <row r="32" spans="1:16" ht="12" customHeight="1">
      <c r="A32" s="80"/>
      <c r="B32" s="80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1:16" ht="12" customHeight="1">
      <c r="A33" s="80"/>
      <c r="B33" s="80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</row>
    <row r="34" spans="1:16" ht="12" customHeight="1">
      <c r="A34" s="80"/>
      <c r="B34" s="80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</row>
    <row r="35" spans="1:16" ht="12" customHeight="1">
      <c r="A35" s="80"/>
      <c r="B35" s="80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</row>
    <row r="36" spans="1:16" ht="12" customHeight="1">
      <c r="A36" s="80"/>
      <c r="B36" s="80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</row>
    <row r="37" spans="1:16" s="78" customFormat="1" ht="15">
      <c r="A37" s="23" t="s">
        <v>214</v>
      </c>
      <c r="B37" s="24"/>
      <c r="C37" s="24"/>
      <c r="D37" s="24"/>
      <c r="E37" s="106"/>
      <c r="F37" s="24"/>
      <c r="G37" s="24"/>
      <c r="H37" s="106"/>
      <c r="I37" s="24"/>
      <c r="J37" s="24"/>
      <c r="K37" s="24"/>
      <c r="L37" s="24"/>
      <c r="M37" s="106" t="s">
        <v>18</v>
      </c>
      <c r="N37" s="24"/>
      <c r="O37" s="24"/>
      <c r="P37" s="107"/>
    </row>
    <row r="38" spans="1:16" ht="15">
      <c r="A38" s="27" t="s">
        <v>215</v>
      </c>
      <c r="B38" s="32"/>
      <c r="C38" s="32"/>
      <c r="D38" s="25"/>
      <c r="E38" s="105"/>
      <c r="F38" s="30"/>
      <c r="G38" s="26"/>
      <c r="H38" s="105"/>
      <c r="I38" s="32"/>
      <c r="J38" s="32"/>
      <c r="K38" s="32"/>
      <c r="L38" s="25"/>
      <c r="M38" s="105" t="s">
        <v>66</v>
      </c>
      <c r="N38" s="30"/>
      <c r="O38" s="26"/>
      <c r="P38" s="108"/>
    </row>
    <row r="39" spans="1:16" ht="15">
      <c r="A39" s="35" t="s">
        <v>37</v>
      </c>
      <c r="B39" s="33"/>
      <c r="C39" s="38" t="s">
        <v>47</v>
      </c>
      <c r="D39" s="38"/>
      <c r="E39" s="37"/>
      <c r="F39" s="37"/>
      <c r="G39" s="37"/>
      <c r="H39" s="37"/>
      <c r="I39" s="33"/>
      <c r="J39" s="33"/>
      <c r="K39" s="38"/>
      <c r="L39" s="38" t="s">
        <v>47</v>
      </c>
      <c r="M39" s="37" t="s">
        <v>19</v>
      </c>
      <c r="N39" s="37"/>
      <c r="O39" s="37"/>
      <c r="P39" s="109"/>
    </row>
    <row r="40" spans="1:16" ht="12" customHeight="1">
      <c r="A40" s="80"/>
      <c r="B40" s="80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</row>
    <row r="41" spans="1:16" s="1" customFormat="1" ht="20.25" customHeight="1">
      <c r="A41" s="362" t="s">
        <v>205</v>
      </c>
      <c r="B41" s="363"/>
      <c r="C41" s="363"/>
      <c r="D41" s="363"/>
      <c r="E41" s="363"/>
      <c r="F41" s="363"/>
      <c r="G41" s="363"/>
      <c r="H41" s="363"/>
      <c r="I41" s="363"/>
      <c r="J41" s="363"/>
      <c r="K41" s="363"/>
      <c r="L41" s="363"/>
      <c r="M41" s="363"/>
      <c r="N41" s="363"/>
      <c r="O41" s="363"/>
      <c r="P41" s="364"/>
    </row>
    <row r="42" spans="1:16" s="78" customFormat="1" ht="15">
      <c r="A42" s="207" t="s">
        <v>206</v>
      </c>
      <c r="B42" s="208"/>
      <c r="C42" s="208"/>
      <c r="D42" s="208"/>
      <c r="E42" s="209"/>
      <c r="F42" s="208"/>
      <c r="G42" s="208"/>
      <c r="H42" s="106" t="s">
        <v>207</v>
      </c>
      <c r="I42" s="208"/>
      <c r="J42" s="208"/>
      <c r="K42" s="208"/>
      <c r="L42" s="208"/>
      <c r="M42" s="209" t="s">
        <v>18</v>
      </c>
      <c r="N42" s="208"/>
      <c r="O42" s="208"/>
      <c r="P42" s="210"/>
    </row>
    <row r="43" spans="1:16" ht="15">
      <c r="A43" s="211" t="s">
        <v>208</v>
      </c>
      <c r="B43" s="212"/>
      <c r="C43" s="212"/>
      <c r="D43" s="213"/>
      <c r="E43" s="214"/>
      <c r="F43" s="215"/>
      <c r="G43" s="216"/>
      <c r="H43" s="105" t="s">
        <v>219</v>
      </c>
      <c r="I43" s="317"/>
      <c r="J43" s="317"/>
      <c r="K43" s="317"/>
      <c r="L43" s="318"/>
      <c r="M43" s="316" t="s">
        <v>66</v>
      </c>
      <c r="N43" s="319"/>
      <c r="O43" s="320"/>
      <c r="P43" s="321"/>
    </row>
    <row r="44" spans="1:16" ht="15">
      <c r="A44" s="218" t="s">
        <v>37</v>
      </c>
      <c r="B44" s="219"/>
      <c r="C44" s="220" t="s">
        <v>47</v>
      </c>
      <c r="D44" s="220"/>
      <c r="E44" s="221"/>
      <c r="F44" s="221"/>
      <c r="G44" s="221"/>
      <c r="H44" s="37" t="s">
        <v>213</v>
      </c>
      <c r="I44" s="219"/>
      <c r="J44" s="219"/>
      <c r="K44" s="220"/>
      <c r="L44" s="220" t="s">
        <v>47</v>
      </c>
      <c r="M44" s="221" t="s">
        <v>19</v>
      </c>
      <c r="N44" s="221"/>
      <c r="O44" s="221"/>
      <c r="P44" s="222"/>
    </row>
    <row r="45" spans="1:16" ht="12" customHeight="1">
      <c r="A45" s="365"/>
      <c r="B45" s="365"/>
      <c r="C45" s="365"/>
      <c r="D45" s="365"/>
      <c r="E45" s="365"/>
      <c r="F45" s="365"/>
      <c r="G45" s="365"/>
      <c r="H45" s="365"/>
      <c r="I45" s="365"/>
      <c r="J45" s="365"/>
      <c r="K45" s="365"/>
      <c r="L45" s="365"/>
      <c r="M45" s="365"/>
      <c r="N45" s="365"/>
      <c r="O45" s="365"/>
      <c r="P45" s="365"/>
    </row>
    <row r="46" spans="1:16" ht="12" customHeight="1">
      <c r="A46" s="85"/>
      <c r="B46" s="86" t="s">
        <v>67</v>
      </c>
      <c r="C46" s="197" t="s">
        <v>68</v>
      </c>
      <c r="D46" s="197" t="s">
        <v>69</v>
      </c>
      <c r="E46" s="197" t="s">
        <v>70</v>
      </c>
      <c r="F46" s="197" t="s">
        <v>71</v>
      </c>
      <c r="G46" s="197" t="s">
        <v>72</v>
      </c>
      <c r="H46" s="197" t="s">
        <v>73</v>
      </c>
      <c r="I46" s="197" t="s">
        <v>74</v>
      </c>
      <c r="J46" s="197" t="s">
        <v>75</v>
      </c>
      <c r="K46" s="197" t="s">
        <v>76</v>
      </c>
      <c r="L46" s="197" t="s">
        <v>77</v>
      </c>
      <c r="M46" s="197" t="s">
        <v>78</v>
      </c>
      <c r="N46" s="197" t="s">
        <v>79</v>
      </c>
      <c r="O46" s="197" t="s">
        <v>80</v>
      </c>
      <c r="P46" s="366" t="s">
        <v>6</v>
      </c>
    </row>
    <row r="47" spans="1:16" ht="12" customHeight="1">
      <c r="A47" s="87" t="s">
        <v>81</v>
      </c>
      <c r="B47" s="88"/>
      <c r="C47" s="89" t="s">
        <v>82</v>
      </c>
      <c r="D47" s="89" t="s">
        <v>83</v>
      </c>
      <c r="E47" s="89">
        <v>60</v>
      </c>
      <c r="F47" s="89">
        <v>90</v>
      </c>
      <c r="G47" s="89">
        <v>120</v>
      </c>
      <c r="H47" s="89">
        <v>150</v>
      </c>
      <c r="I47" s="89">
        <v>180</v>
      </c>
      <c r="J47" s="89">
        <v>210</v>
      </c>
      <c r="K47" s="89">
        <v>240</v>
      </c>
      <c r="L47" s="89">
        <v>270</v>
      </c>
      <c r="M47" s="89">
        <v>300</v>
      </c>
      <c r="N47" s="89">
        <v>330</v>
      </c>
      <c r="O47" s="89">
        <v>360</v>
      </c>
      <c r="P47" s="367"/>
    </row>
    <row r="48" spans="1:16" ht="15" customHeight="1">
      <c r="A48" s="90" t="s">
        <v>84</v>
      </c>
      <c r="B48" s="355" t="s">
        <v>0</v>
      </c>
      <c r="C48" s="91"/>
      <c r="D48" s="91"/>
      <c r="E48" s="91"/>
      <c r="F48" s="91"/>
      <c r="G48" s="91"/>
      <c r="H48" s="91">
        <v>1</v>
      </c>
      <c r="I48" s="91"/>
      <c r="J48" s="91"/>
      <c r="K48" s="91"/>
      <c r="L48" s="91"/>
      <c r="M48" s="91"/>
      <c r="N48" s="91"/>
      <c r="O48" s="91"/>
      <c r="P48" s="92">
        <f>D48+E48+F48+G48+H48+I48</f>
        <v>1</v>
      </c>
    </row>
    <row r="49" spans="1:16" s="79" customFormat="1" ht="15" customHeight="1">
      <c r="A49" s="93"/>
      <c r="B49" s="356"/>
      <c r="C49" s="94"/>
      <c r="D49" s="94"/>
      <c r="E49" s="94"/>
      <c r="F49" s="94"/>
      <c r="G49" s="94"/>
      <c r="H49" s="94">
        <f>H48*P49</f>
        <v>2410.9316100000001</v>
      </c>
      <c r="I49" s="94"/>
      <c r="J49" s="94"/>
      <c r="K49" s="94"/>
      <c r="L49" s="94"/>
      <c r="M49" s="94"/>
      <c r="N49" s="94"/>
      <c r="O49" s="94"/>
      <c r="P49" s="95">
        <f>'ANEXO 15  PLANILHA CUSTO'!H38*1.2423</f>
        <v>2410.9316100000001</v>
      </c>
    </row>
    <row r="50" spans="1:16" s="79" customFormat="1" ht="15" customHeight="1">
      <c r="A50" s="90" t="s">
        <v>85</v>
      </c>
      <c r="B50" s="355" t="s">
        <v>16</v>
      </c>
      <c r="C50" s="91"/>
      <c r="D50" s="91"/>
      <c r="E50" s="91"/>
      <c r="F50" s="91"/>
      <c r="G50" s="91"/>
      <c r="H50" s="91">
        <v>0.3</v>
      </c>
      <c r="I50" s="91">
        <v>0.3</v>
      </c>
      <c r="J50" s="91">
        <v>0.3</v>
      </c>
      <c r="K50" s="91">
        <v>0.1</v>
      </c>
      <c r="L50" s="91"/>
      <c r="M50" s="91"/>
      <c r="N50" s="91"/>
      <c r="O50" s="91"/>
      <c r="P50" s="92">
        <f>D50+E50+F50+G50+H50+I50</f>
        <v>0.6</v>
      </c>
    </row>
    <row r="51" spans="1:16" ht="15" customHeight="1">
      <c r="A51" s="93"/>
      <c r="B51" s="356"/>
      <c r="C51" s="94"/>
      <c r="D51" s="94"/>
      <c r="E51" s="94"/>
      <c r="F51" s="94"/>
      <c r="G51" s="94"/>
      <c r="H51" s="94">
        <f>H50*P51</f>
        <v>400599.51747731102</v>
      </c>
      <c r="I51" s="94">
        <f>I50*P51</f>
        <v>400599.51747731102</v>
      </c>
      <c r="J51" s="94">
        <f>J50*P51</f>
        <v>400599.51747731102</v>
      </c>
      <c r="K51" s="94">
        <f>K50*P51</f>
        <v>133533.17249243704</v>
      </c>
      <c r="L51" s="94"/>
      <c r="M51" s="94"/>
      <c r="N51" s="94"/>
      <c r="O51" s="94"/>
      <c r="P51" s="95">
        <f>('ANEXO 15  PLANILHA CUSTO'!H45+'ANEXO 15  PLANILHA CUSTO'!H65+'ANEXO 15  PLANILHA CUSTO'!H86)*1.2423</f>
        <v>1335331.7249243702</v>
      </c>
    </row>
    <row r="52" spans="1:16" ht="15" customHeight="1">
      <c r="A52" s="90" t="s">
        <v>86</v>
      </c>
      <c r="B52" s="355" t="s">
        <v>54</v>
      </c>
      <c r="C52" s="91"/>
      <c r="D52" s="91"/>
      <c r="E52" s="91"/>
      <c r="F52" s="91"/>
      <c r="G52" s="91"/>
      <c r="H52" s="91"/>
      <c r="I52" s="91"/>
      <c r="J52" s="91"/>
      <c r="K52" s="91">
        <v>1</v>
      </c>
      <c r="L52" s="91"/>
      <c r="M52" s="91"/>
      <c r="N52" s="91"/>
      <c r="O52" s="91"/>
      <c r="P52" s="92">
        <f>D52+E52+F52+G52+H52+I52</f>
        <v>0</v>
      </c>
    </row>
    <row r="53" spans="1:16" ht="15" customHeight="1">
      <c r="A53" s="93"/>
      <c r="B53" s="356"/>
      <c r="C53" s="94"/>
      <c r="D53" s="94"/>
      <c r="E53" s="94"/>
      <c r="F53" s="94"/>
      <c r="G53" s="94"/>
      <c r="H53" s="94"/>
      <c r="I53" s="94"/>
      <c r="J53" s="322"/>
      <c r="K53" s="94">
        <f>K52*P53</f>
        <v>38712.565022999996</v>
      </c>
      <c r="L53" s="94"/>
      <c r="M53" s="94"/>
      <c r="N53" s="94"/>
      <c r="O53" s="94"/>
      <c r="P53" s="223">
        <f>('ANEXO 15  PLANILHA CUSTO'!H48+'ANEXO 15  PLANILHA CUSTO'!H69+'ANEXO 15  PLANILHA CUSTO'!H90)*1.2423</f>
        <v>38712.565022999996</v>
      </c>
    </row>
    <row r="54" spans="1:16" ht="15" customHeight="1">
      <c r="A54" s="90" t="s">
        <v>91</v>
      </c>
      <c r="B54" s="355" t="s">
        <v>65</v>
      </c>
      <c r="C54" s="97"/>
      <c r="D54" s="91"/>
      <c r="E54" s="91"/>
      <c r="F54" s="91"/>
      <c r="G54" s="91"/>
      <c r="H54" s="91"/>
      <c r="I54" s="91"/>
      <c r="J54" s="91">
        <v>0.5</v>
      </c>
      <c r="K54" s="91">
        <v>0.5</v>
      </c>
      <c r="L54" s="97"/>
      <c r="M54" s="97"/>
      <c r="N54" s="97"/>
      <c r="O54" s="314"/>
      <c r="P54" s="92">
        <f>D54+E54+F54+G54+H54+I54</f>
        <v>0</v>
      </c>
    </row>
    <row r="55" spans="1:16" ht="15" customHeight="1">
      <c r="A55" s="93"/>
      <c r="B55" s="357"/>
      <c r="C55" s="94"/>
      <c r="D55" s="94"/>
      <c r="E55" s="94"/>
      <c r="F55" s="94"/>
      <c r="G55" s="94"/>
      <c r="H55" s="94"/>
      <c r="I55" s="94"/>
      <c r="J55" s="94">
        <f>J54*P55</f>
        <v>36345.791960340001</v>
      </c>
      <c r="K55" s="94">
        <f>K54*P55</f>
        <v>36345.791960340001</v>
      </c>
      <c r="L55" s="94"/>
      <c r="M55" s="94"/>
      <c r="N55" s="94"/>
      <c r="O55" s="315"/>
      <c r="P55" s="223">
        <f>('ANEXO 15  PLANILHA CUSTO'!H54+'ANEXO 15  PLANILHA CUSTO'!H75+'ANEXO 15  PLANILHA CUSTO'!H96)*1.2423</f>
        <v>72691.583920680001</v>
      </c>
    </row>
    <row r="56" spans="1:16" s="79" customFormat="1" ht="12" customHeight="1">
      <c r="A56" s="93"/>
      <c r="B56" s="196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5"/>
    </row>
    <row r="57" spans="1:16" s="79" customFormat="1" ht="20.100000000000001" customHeight="1">
      <c r="A57" s="358" t="s">
        <v>87</v>
      </c>
      <c r="B57" s="359"/>
      <c r="C57" s="98"/>
      <c r="D57" s="98"/>
      <c r="E57" s="98"/>
      <c r="F57" s="98"/>
      <c r="G57" s="98"/>
      <c r="H57" s="98">
        <f>H58/P58</f>
        <v>0.27810187868051395</v>
      </c>
      <c r="I57" s="98">
        <f>I58/P58</f>
        <v>0.27643818829325556</v>
      </c>
      <c r="J57" s="98">
        <f>J58/P58</f>
        <v>0.30151900952057775</v>
      </c>
      <c r="K57" s="98">
        <f>K58/P58</f>
        <v>0.14394092350565274</v>
      </c>
      <c r="L57" s="98"/>
      <c r="M57" s="98"/>
      <c r="N57" s="98"/>
      <c r="O57" s="98"/>
      <c r="P57" s="99"/>
    </row>
    <row r="58" spans="1:16" ht="20.100000000000001" customHeight="1">
      <c r="A58" s="360"/>
      <c r="B58" s="361"/>
      <c r="C58" s="100" t="e">
        <f>C49+C51+#REF!+C53+C55+#REF!+#REF!+#REF!+#REF!+#REF!+#REF!+#REF!+C56</f>
        <v>#REF!</v>
      </c>
      <c r="D58" s="100"/>
      <c r="E58" s="100"/>
      <c r="F58" s="100"/>
      <c r="G58" s="100"/>
      <c r="H58" s="100">
        <f>H49+H51</f>
        <v>403010.44908731105</v>
      </c>
      <c r="I58" s="100">
        <f>I51</f>
        <v>400599.51747731102</v>
      </c>
      <c r="J58" s="100">
        <f>J51+J55</f>
        <v>436945.30943765101</v>
      </c>
      <c r="K58" s="100">
        <f>K51+K53+K55</f>
        <v>208591.52947577703</v>
      </c>
      <c r="L58" s="100"/>
      <c r="M58" s="100"/>
      <c r="N58" s="100"/>
      <c r="O58" s="100"/>
      <c r="P58" s="100">
        <f>P49+P51+P53+P55</f>
        <v>1449146.8054780501</v>
      </c>
    </row>
    <row r="59" spans="1:16" ht="20.100000000000001" customHeight="1">
      <c r="A59" s="358" t="s">
        <v>88</v>
      </c>
      <c r="B59" s="359"/>
      <c r="C59" s="98"/>
      <c r="D59" s="98"/>
      <c r="E59" s="98"/>
      <c r="F59" s="98"/>
      <c r="G59" s="98"/>
      <c r="H59" s="98">
        <f>G59+H57</f>
        <v>0.27810187868051395</v>
      </c>
      <c r="I59" s="98">
        <f>H59+I57</f>
        <v>0.55454006697376945</v>
      </c>
      <c r="J59" s="98">
        <f t="shared" ref="J59:O60" si="3">J57+I59</f>
        <v>0.8560590764943472</v>
      </c>
      <c r="K59" s="98">
        <f t="shared" si="3"/>
        <v>1</v>
      </c>
      <c r="L59" s="98">
        <f t="shared" si="3"/>
        <v>1</v>
      </c>
      <c r="M59" s="98">
        <f t="shared" si="3"/>
        <v>1</v>
      </c>
      <c r="N59" s="98">
        <f t="shared" si="3"/>
        <v>1</v>
      </c>
      <c r="O59" s="98">
        <f t="shared" si="3"/>
        <v>1</v>
      </c>
      <c r="P59" s="101"/>
    </row>
    <row r="60" spans="1:16" ht="20.100000000000001" customHeight="1">
      <c r="A60" s="360"/>
      <c r="B60" s="361"/>
      <c r="C60" s="100"/>
      <c r="D60" s="100"/>
      <c r="E60" s="100"/>
      <c r="F60" s="100"/>
      <c r="G60" s="100"/>
      <c r="H60" s="100">
        <f>G60+H58</f>
        <v>403010.44908731105</v>
      </c>
      <c r="I60" s="100">
        <f>H60+I58</f>
        <v>803609.96656462201</v>
      </c>
      <c r="J60" s="100">
        <f t="shared" si="3"/>
        <v>1240555.276002273</v>
      </c>
      <c r="K60" s="100">
        <f t="shared" si="3"/>
        <v>1449146.8054780499</v>
      </c>
      <c r="L60" s="100">
        <f t="shared" si="3"/>
        <v>1449146.8054780499</v>
      </c>
      <c r="M60" s="100">
        <f t="shared" si="3"/>
        <v>1449146.8054780499</v>
      </c>
      <c r="N60" s="100">
        <f t="shared" si="3"/>
        <v>1449146.8054780499</v>
      </c>
      <c r="O60" s="100">
        <f t="shared" si="3"/>
        <v>1449146.8054780499</v>
      </c>
      <c r="P60" s="102"/>
    </row>
    <row r="63" spans="1:16" s="82" customFormat="1" ht="15.75" customHeight="1">
      <c r="A63" s="80"/>
      <c r="B63" s="354" t="s">
        <v>191</v>
      </c>
      <c r="C63" s="354"/>
      <c r="D63" s="354"/>
      <c r="E63" s="354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</row>
    <row r="64" spans="1:16" s="82" customFormat="1">
      <c r="A64" s="80"/>
      <c r="B64" s="80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</row>
    <row r="65" spans="1:16" s="82" customFormat="1">
      <c r="A65" s="80"/>
      <c r="B65" s="80"/>
      <c r="C65" s="81"/>
      <c r="D65" s="81"/>
      <c r="E65" s="81"/>
      <c r="F65" s="81"/>
      <c r="G65" s="353" t="s">
        <v>89</v>
      </c>
      <c r="H65" s="353"/>
      <c r="I65" s="353"/>
      <c r="J65" s="81"/>
      <c r="K65" s="81"/>
      <c r="L65" s="81"/>
      <c r="M65" s="81"/>
      <c r="N65" s="81"/>
      <c r="O65" s="81"/>
      <c r="P65" s="81"/>
    </row>
    <row r="66" spans="1:16" s="82" customFormat="1" ht="15">
      <c r="A66" s="225"/>
      <c r="B66" s="225"/>
      <c r="C66" s="225"/>
      <c r="D66" s="225"/>
      <c r="E66" s="225"/>
      <c r="F66" s="225"/>
      <c r="G66" s="353" t="s">
        <v>90</v>
      </c>
      <c r="H66" s="353"/>
      <c r="I66" s="353"/>
      <c r="J66" s="225"/>
      <c r="K66" s="225"/>
      <c r="L66" s="225"/>
      <c r="M66" s="225"/>
      <c r="N66" s="225"/>
      <c r="O66" s="225"/>
      <c r="P66" s="225"/>
    </row>
    <row r="67" spans="1:16" s="82" customFormat="1" ht="15">
      <c r="A67" s="225"/>
      <c r="B67" s="225"/>
      <c r="C67" s="225"/>
      <c r="D67" s="225"/>
      <c r="E67" s="225"/>
      <c r="F67" s="225"/>
      <c r="G67" s="225" t="s">
        <v>220</v>
      </c>
      <c r="H67" s="225"/>
      <c r="I67" s="225"/>
      <c r="J67" s="225"/>
      <c r="K67" s="225"/>
      <c r="L67" s="225"/>
      <c r="M67" s="225"/>
      <c r="N67" s="225"/>
      <c r="O67" s="225"/>
      <c r="P67" s="225"/>
    </row>
    <row r="68" spans="1:16" s="82" customFormat="1" ht="15">
      <c r="A68" s="225"/>
      <c r="B68" s="225"/>
      <c r="C68" s="225"/>
      <c r="D68" s="225"/>
      <c r="E68" s="225"/>
      <c r="F68" s="353" t="s">
        <v>221</v>
      </c>
      <c r="G68" s="353"/>
      <c r="H68" s="353"/>
      <c r="I68" s="353"/>
      <c r="J68" s="353"/>
      <c r="K68" s="225"/>
      <c r="L68" s="225"/>
      <c r="M68" s="225"/>
      <c r="N68" s="225"/>
      <c r="O68" s="225"/>
      <c r="P68" s="225"/>
    </row>
  </sheetData>
  <mergeCells count="27">
    <mergeCell ref="F68:J68"/>
    <mergeCell ref="A4:P4"/>
    <mergeCell ref="A5:P5"/>
    <mergeCell ref="A9:P9"/>
    <mergeCell ref="P10:P11"/>
    <mergeCell ref="B12:B13"/>
    <mergeCell ref="B50:B51"/>
    <mergeCell ref="B14:B15"/>
    <mergeCell ref="B16:B17"/>
    <mergeCell ref="B18:B19"/>
    <mergeCell ref="A21:B22"/>
    <mergeCell ref="A23:B24"/>
    <mergeCell ref="G65:I65"/>
    <mergeCell ref="G66:I66"/>
    <mergeCell ref="B27:E27"/>
    <mergeCell ref="G29:I29"/>
    <mergeCell ref="G30:I30"/>
    <mergeCell ref="G31:I31"/>
    <mergeCell ref="B52:B53"/>
    <mergeCell ref="B54:B55"/>
    <mergeCell ref="A57:B58"/>
    <mergeCell ref="A59:B60"/>
    <mergeCell ref="B63:E63"/>
    <mergeCell ref="A41:P41"/>
    <mergeCell ref="A45:P45"/>
    <mergeCell ref="P46:P47"/>
    <mergeCell ref="B48:B49"/>
  </mergeCells>
  <pageMargins left="0.31496062992125984" right="0.9055118110236221" top="1.1811023622047245" bottom="0.98425196850393704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5"/>
  <sheetViews>
    <sheetView topLeftCell="A7" workbookViewId="0">
      <selection activeCell="J24" sqref="J24"/>
    </sheetView>
  </sheetViews>
  <sheetFormatPr defaultRowHeight="12.75"/>
  <cols>
    <col min="1" max="1" width="44.85546875" customWidth="1"/>
    <col min="2" max="2" width="11.140625" customWidth="1"/>
    <col min="3" max="3" width="10.7109375" customWidth="1"/>
    <col min="4" max="4" width="11.140625" customWidth="1"/>
    <col min="5" max="5" width="10.140625" customWidth="1"/>
  </cols>
  <sheetData>
    <row r="1" spans="1:5" ht="13.5" thickBot="1">
      <c r="A1" s="103"/>
      <c r="B1" s="103"/>
      <c r="C1" s="103"/>
      <c r="D1" s="103"/>
      <c r="E1" s="103"/>
    </row>
    <row r="2" spans="1:5" ht="21">
      <c r="A2" s="373" t="s">
        <v>130</v>
      </c>
      <c r="B2" s="374"/>
      <c r="C2" s="374"/>
      <c r="D2" s="374"/>
      <c r="E2" s="375"/>
    </row>
    <row r="3" spans="1:5" ht="15">
      <c r="A3" s="376" t="s">
        <v>192</v>
      </c>
      <c r="B3" s="377"/>
      <c r="C3" s="377"/>
      <c r="D3" s="377"/>
      <c r="E3" s="378"/>
    </row>
    <row r="4" spans="1:5" ht="33.75" customHeight="1" thickBot="1">
      <c r="A4" s="379" t="s">
        <v>212</v>
      </c>
      <c r="B4" s="380"/>
      <c r="C4" s="380"/>
      <c r="D4" s="380"/>
      <c r="E4" s="381"/>
    </row>
    <row r="5" spans="1:5" ht="13.5" thickBot="1">
      <c r="A5" s="162"/>
      <c r="B5" s="163"/>
      <c r="C5" s="163"/>
      <c r="D5" s="163"/>
      <c r="E5" s="164"/>
    </row>
    <row r="6" spans="1:5" ht="25.5">
      <c r="A6" s="206" t="s">
        <v>197</v>
      </c>
      <c r="B6" s="165" t="s">
        <v>134</v>
      </c>
      <c r="C6" s="166" t="s">
        <v>131</v>
      </c>
      <c r="D6" s="166" t="s">
        <v>132</v>
      </c>
      <c r="E6" s="167" t="s">
        <v>133</v>
      </c>
    </row>
    <row r="7" spans="1:5">
      <c r="A7" s="169" t="s">
        <v>193</v>
      </c>
      <c r="B7" s="155">
        <v>20312.400000000001</v>
      </c>
      <c r="C7" s="158">
        <v>22</v>
      </c>
      <c r="D7" s="158">
        <v>16</v>
      </c>
      <c r="E7" s="170">
        <v>76</v>
      </c>
    </row>
    <row r="8" spans="1:5">
      <c r="A8" s="301" t="s">
        <v>194</v>
      </c>
      <c r="B8" s="156">
        <v>1987.45</v>
      </c>
      <c r="C8" s="158">
        <v>4</v>
      </c>
      <c r="D8" s="158"/>
      <c r="E8" s="170">
        <v>8</v>
      </c>
    </row>
    <row r="9" spans="1:5">
      <c r="A9" s="302" t="s">
        <v>195</v>
      </c>
      <c r="B9" s="155">
        <v>25595.47</v>
      </c>
      <c r="C9" s="158">
        <v>36</v>
      </c>
      <c r="D9" s="158">
        <v>52</v>
      </c>
      <c r="E9" s="170">
        <v>176</v>
      </c>
    </row>
    <row r="10" spans="1:5">
      <c r="A10" s="301" t="s">
        <v>196</v>
      </c>
      <c r="B10" s="156">
        <v>17156.259999999998</v>
      </c>
      <c r="C10" s="157">
        <v>25</v>
      </c>
      <c r="D10" s="157">
        <v>40</v>
      </c>
      <c r="E10" s="168">
        <v>130</v>
      </c>
    </row>
    <row r="11" spans="1:5">
      <c r="A11" s="169"/>
      <c r="B11" s="155"/>
      <c r="C11" s="157"/>
      <c r="D11" s="157"/>
      <c r="E11" s="168"/>
    </row>
    <row r="12" spans="1:5" ht="13.5" thickBot="1">
      <c r="A12" s="175"/>
      <c r="B12" s="176"/>
      <c r="C12" s="177"/>
      <c r="D12" s="177"/>
      <c r="E12" s="178"/>
    </row>
    <row r="13" spans="1:5" ht="13.5" thickBot="1">
      <c r="A13" s="171" t="s">
        <v>6</v>
      </c>
      <c r="B13" s="172">
        <f>SUM(B7:B12)</f>
        <v>65051.58</v>
      </c>
      <c r="C13" s="173">
        <f>SUM(C7:C12)</f>
        <v>87</v>
      </c>
      <c r="D13" s="173">
        <f>SUM(D7:D12)</f>
        <v>108</v>
      </c>
      <c r="E13" s="174">
        <f>SUM(E7:E12)</f>
        <v>390</v>
      </c>
    </row>
    <row r="14" spans="1:5">
      <c r="A14" s="372"/>
      <c r="B14" s="372"/>
      <c r="C14" s="372"/>
      <c r="D14" s="372"/>
      <c r="E14" s="372"/>
    </row>
    <row r="15" spans="1:5">
      <c r="A15" s="51"/>
      <c r="B15" s="51"/>
      <c r="C15" s="51"/>
      <c r="D15" s="51"/>
      <c r="E15" s="51"/>
    </row>
    <row r="16" spans="1:5">
      <c r="A16" s="382" t="s">
        <v>191</v>
      </c>
      <c r="B16" s="383"/>
      <c r="C16" s="383"/>
      <c r="D16" s="383"/>
      <c r="E16" s="383"/>
    </row>
    <row r="17" spans="1:5">
      <c r="A17" s="104"/>
      <c r="B17" s="104"/>
    </row>
    <row r="18" spans="1:5">
      <c r="A18" s="104"/>
      <c r="B18" s="104"/>
    </row>
    <row r="19" spans="1:5">
      <c r="A19" s="104"/>
      <c r="B19" s="104"/>
    </row>
    <row r="20" spans="1:5">
      <c r="A20" s="371" t="s">
        <v>92</v>
      </c>
      <c r="B20" s="371"/>
      <c r="C20" s="371"/>
      <c r="D20" s="371"/>
      <c r="E20" s="371"/>
    </row>
    <row r="21" spans="1:5">
      <c r="A21" s="371" t="s">
        <v>90</v>
      </c>
      <c r="B21" s="371"/>
      <c r="C21" s="371"/>
      <c r="D21" s="371"/>
      <c r="E21" s="371"/>
    </row>
    <row r="22" spans="1:5" ht="15">
      <c r="A22" s="353" t="s">
        <v>220</v>
      </c>
      <c r="B22" s="353"/>
      <c r="C22" s="353"/>
      <c r="D22" s="353"/>
      <c r="E22" s="353"/>
    </row>
    <row r="23" spans="1:5" ht="15">
      <c r="A23" s="353" t="s">
        <v>221</v>
      </c>
      <c r="B23" s="353"/>
      <c r="C23" s="353"/>
      <c r="D23" s="353"/>
      <c r="E23" s="353"/>
    </row>
    <row r="25" spans="1:5">
      <c r="B25" s="303"/>
    </row>
  </sheetData>
  <mergeCells count="9">
    <mergeCell ref="A23:E23"/>
    <mergeCell ref="A21:E21"/>
    <mergeCell ref="A22:E22"/>
    <mergeCell ref="A14:E14"/>
    <mergeCell ref="A2:E2"/>
    <mergeCell ref="A3:E3"/>
    <mergeCell ref="A4:E4"/>
    <mergeCell ref="A16:E16"/>
    <mergeCell ref="A20:E20"/>
  </mergeCells>
  <pageMargins left="0.70866141732283472" right="0.51181102362204722" top="1.9685039370078741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6"/>
  <sheetViews>
    <sheetView topLeftCell="A19" workbookViewId="0">
      <selection activeCell="A35" sqref="A35:F36"/>
    </sheetView>
  </sheetViews>
  <sheetFormatPr defaultRowHeight="12.75"/>
  <cols>
    <col min="1" max="1" width="22.42578125" customWidth="1"/>
    <col min="2" max="2" width="12.5703125" customWidth="1"/>
    <col min="3" max="3" width="13.7109375" customWidth="1"/>
    <col min="4" max="4" width="14.28515625" customWidth="1"/>
    <col min="5" max="5" width="12.85546875" customWidth="1"/>
    <col min="6" max="6" width="12.140625" customWidth="1"/>
  </cols>
  <sheetData>
    <row r="1" spans="1:6" ht="18.75">
      <c r="A1" s="384" t="s">
        <v>135</v>
      </c>
      <c r="B1" s="385"/>
      <c r="C1" s="385"/>
      <c r="D1" s="385"/>
      <c r="E1" s="385"/>
      <c r="F1" s="385"/>
    </row>
    <row r="2" spans="1:6" ht="15.75">
      <c r="A2" s="386" t="s">
        <v>136</v>
      </c>
      <c r="B2" s="387"/>
      <c r="C2" s="387"/>
      <c r="D2" s="387"/>
      <c r="E2" s="387"/>
      <c r="F2" s="387"/>
    </row>
    <row r="3" spans="1:6" ht="13.5" thickBot="1">
      <c r="A3" s="124"/>
      <c r="B3" s="124"/>
      <c r="C3" s="124"/>
    </row>
    <row r="4" spans="1:6" ht="31.5" thickTop="1" thickBot="1">
      <c r="A4" s="125" t="s">
        <v>137</v>
      </c>
      <c r="B4" s="126" t="s">
        <v>138</v>
      </c>
      <c r="C4" s="126" t="s">
        <v>139</v>
      </c>
      <c r="D4" s="127" t="s">
        <v>140</v>
      </c>
      <c r="E4" s="128" t="s">
        <v>141</v>
      </c>
      <c r="F4" s="129" t="s">
        <v>142</v>
      </c>
    </row>
    <row r="5" spans="1:6" ht="16.5" thickTop="1" thickBot="1">
      <c r="A5" s="130" t="s">
        <v>143</v>
      </c>
      <c r="B5" s="131">
        <v>3.7999999999999999E-2</v>
      </c>
      <c r="C5" s="131">
        <v>4.0099999999999997E-2</v>
      </c>
      <c r="D5" s="132">
        <v>4.6699999999999998E-2</v>
      </c>
      <c r="E5" s="133">
        <v>3.7999999999999999E-2</v>
      </c>
      <c r="F5" s="134" t="str">
        <f>IF(AND(E5&gt;=B5,E5&lt;=D5),"OK","Não OK")</f>
        <v>OK</v>
      </c>
    </row>
    <row r="6" spans="1:6" ht="16.5" thickTop="1" thickBot="1">
      <c r="A6" s="130" t="s">
        <v>144</v>
      </c>
      <c r="B6" s="131">
        <v>3.2000000000000002E-3</v>
      </c>
      <c r="C6" s="131">
        <v>4.0000000000000001E-3</v>
      </c>
      <c r="D6" s="132">
        <v>7.4000000000000003E-3</v>
      </c>
      <c r="E6" s="133">
        <v>3.2000000000000002E-3</v>
      </c>
      <c r="F6" s="134" t="str">
        <f>IF(AND(E6&gt;=B6,E6&lt;=D6),"OK","Não OK")</f>
        <v>OK</v>
      </c>
    </row>
    <row r="7" spans="1:6" ht="16.5" thickTop="1" thickBot="1">
      <c r="A7" s="130" t="s">
        <v>145</v>
      </c>
      <c r="B7" s="131">
        <v>5.0000000000000001E-3</v>
      </c>
      <c r="C7" s="131">
        <v>5.5999999999999999E-3</v>
      </c>
      <c r="D7" s="132">
        <v>9.7000000000000003E-3</v>
      </c>
      <c r="E7" s="133">
        <v>5.0000000000000001E-3</v>
      </c>
      <c r="F7" s="134" t="str">
        <f>IF(AND(E7&gt;=B7,E7&lt;=D7),"OK","Não OK")</f>
        <v>OK</v>
      </c>
    </row>
    <row r="8" spans="1:6" ht="16.5" thickTop="1" thickBot="1">
      <c r="A8" s="130" t="s">
        <v>114</v>
      </c>
      <c r="B8" s="135">
        <v>1.0200000000000001E-2</v>
      </c>
      <c r="C8" s="135">
        <v>1.11E-2</v>
      </c>
      <c r="D8" s="136">
        <v>1.21E-2</v>
      </c>
      <c r="E8" s="133">
        <v>1.0200000000000001E-2</v>
      </c>
      <c r="F8" s="134" t="str">
        <f>IF(AND(E8&gt;=B8,E8&lt;=D8),"OK","Não OK")</f>
        <v>OK</v>
      </c>
    </row>
    <row r="9" spans="1:6" ht="15.75" thickBot="1">
      <c r="A9" s="137" t="s">
        <v>146</v>
      </c>
      <c r="B9" s="138">
        <v>6.6400000000000001E-2</v>
      </c>
      <c r="C9" s="138">
        <v>7.2999999999999995E-2</v>
      </c>
      <c r="D9" s="138">
        <v>8.6900000000000005E-2</v>
      </c>
      <c r="E9" s="139">
        <v>8.5500000000000007E-2</v>
      </c>
      <c r="F9" s="134" t="str">
        <f>IF(AND(E9&gt;=B9,E9&lt;=D9),"OK","Não OK")</f>
        <v>OK</v>
      </c>
    </row>
    <row r="10" spans="1:6" ht="29.25" thickBot="1">
      <c r="A10" s="140" t="s">
        <v>147</v>
      </c>
      <c r="B10" s="388" t="s">
        <v>148</v>
      </c>
      <c r="C10" s="389"/>
      <c r="D10" s="390"/>
      <c r="E10" s="141">
        <v>7.6499999999999999E-2</v>
      </c>
      <c r="F10" s="142"/>
    </row>
    <row r="11" spans="1:6" ht="54.75" customHeight="1" thickTop="1" thickBot="1">
      <c r="A11" s="143" t="s">
        <v>149</v>
      </c>
      <c r="B11" s="144">
        <v>0.19600000000000001</v>
      </c>
      <c r="C11" s="144">
        <v>0.2097</v>
      </c>
      <c r="D11" s="144">
        <v>0.24229999999999999</v>
      </c>
      <c r="E11" s="145"/>
      <c r="F11" s="146"/>
    </row>
    <row r="12" spans="1:6" ht="13.5" thickTop="1">
      <c r="A12" s="124"/>
      <c r="B12" s="124"/>
      <c r="C12" s="124"/>
    </row>
    <row r="13" spans="1:6">
      <c r="A13" s="124"/>
      <c r="B13" s="124"/>
      <c r="C13" s="124"/>
    </row>
    <row r="14" spans="1:6">
      <c r="A14" s="124"/>
      <c r="B14" s="124"/>
      <c r="C14" s="124"/>
    </row>
    <row r="15" spans="1:6">
      <c r="A15" s="124"/>
      <c r="B15" s="124"/>
      <c r="C15" s="124"/>
    </row>
    <row r="16" spans="1:6">
      <c r="A16" s="124"/>
      <c r="B16" s="124"/>
      <c r="C16" s="124"/>
    </row>
    <row r="17" spans="1:4">
      <c r="A17" s="124"/>
      <c r="B17" s="124"/>
      <c r="C17" s="124"/>
    </row>
    <row r="18" spans="1:4">
      <c r="A18" s="124"/>
      <c r="B18" s="124"/>
      <c r="C18" s="124"/>
    </row>
    <row r="19" spans="1:4">
      <c r="A19" s="124"/>
      <c r="B19" s="124"/>
      <c r="C19" s="124"/>
    </row>
    <row r="20" spans="1:4">
      <c r="A20" s="124"/>
      <c r="B20" s="124"/>
      <c r="C20" s="124"/>
    </row>
    <row r="21" spans="1:4">
      <c r="A21" s="124"/>
      <c r="B21" s="124"/>
      <c r="C21" s="124"/>
    </row>
    <row r="22" spans="1:4">
      <c r="A22" s="124"/>
      <c r="B22" s="124"/>
      <c r="C22" s="124"/>
    </row>
    <row r="23" spans="1:4">
      <c r="A23" s="124"/>
      <c r="B23" s="124"/>
      <c r="C23" s="124"/>
    </row>
    <row r="24" spans="1:4" ht="15.75">
      <c r="A24" s="147" t="s">
        <v>150</v>
      </c>
      <c r="B24" s="148">
        <f>(((1+E5+E6+E7)*(1+E8)*(1+E9)/(1-E10))-1)</f>
        <v>0.24226716948565219</v>
      </c>
      <c r="C24" s="149"/>
      <c r="D24" s="150" t="str">
        <f>IF(AND(B24&gt;=B11,B24&lt;=D11),"OK","Não OK")</f>
        <v>OK</v>
      </c>
    </row>
    <row r="26" spans="1:4" ht="15">
      <c r="A26" s="151" t="s">
        <v>151</v>
      </c>
    </row>
    <row r="27" spans="1:4" ht="15">
      <c r="A27" s="152"/>
      <c r="B27" s="153"/>
      <c r="C27" s="153"/>
    </row>
    <row r="28" spans="1:4" ht="15">
      <c r="A28" s="152" t="s">
        <v>152</v>
      </c>
      <c r="B28" s="153"/>
      <c r="C28" s="153"/>
    </row>
    <row r="29" spans="1:4" ht="15">
      <c r="A29" s="151"/>
    </row>
    <row r="30" spans="1:4" ht="15">
      <c r="A30" s="154" t="s">
        <v>191</v>
      </c>
    </row>
    <row r="31" spans="1:4" ht="15">
      <c r="A31" s="154"/>
    </row>
    <row r="32" spans="1:4" ht="15">
      <c r="A32" s="151"/>
    </row>
    <row r="33" spans="1:6">
      <c r="A33" s="391" t="s">
        <v>153</v>
      </c>
      <c r="B33" s="391"/>
      <c r="C33" s="391"/>
      <c r="D33" s="391"/>
      <c r="E33" s="391"/>
      <c r="F33" s="391"/>
    </row>
    <row r="34" spans="1:6">
      <c r="A34" s="391" t="s">
        <v>154</v>
      </c>
      <c r="B34" s="391"/>
      <c r="C34" s="391"/>
      <c r="D34" s="391"/>
      <c r="E34" s="391"/>
      <c r="F34" s="391"/>
    </row>
    <row r="35" spans="1:6" ht="15" customHeight="1">
      <c r="A35" s="353" t="s">
        <v>220</v>
      </c>
      <c r="B35" s="353"/>
      <c r="C35" s="353"/>
      <c r="D35" s="353"/>
      <c r="E35" s="353"/>
      <c r="F35" s="353"/>
    </row>
    <row r="36" spans="1:6" ht="14.25" customHeight="1">
      <c r="A36" s="417" t="s">
        <v>221</v>
      </c>
      <c r="B36" s="417"/>
      <c r="C36" s="417"/>
      <c r="D36" s="417"/>
      <c r="E36" s="417"/>
      <c r="F36" s="417"/>
    </row>
  </sheetData>
  <mergeCells count="7">
    <mergeCell ref="A35:F35"/>
    <mergeCell ref="A1:F1"/>
    <mergeCell ref="A2:F2"/>
    <mergeCell ref="B10:D10"/>
    <mergeCell ref="A33:F33"/>
    <mergeCell ref="A34:F34"/>
    <mergeCell ref="A36:F36"/>
  </mergeCells>
  <pageMargins left="0.9055118110236221" right="0.31496062992125984" top="1.7716535433070868" bottom="0.78740157480314965" header="0.31496062992125984" footer="0.31496062992125984"/>
  <pageSetup paperSize="9" scale="9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7"/>
  <sheetViews>
    <sheetView topLeftCell="A13" workbookViewId="0">
      <selection activeCell="A35" sqref="A35:XFD35"/>
    </sheetView>
  </sheetViews>
  <sheetFormatPr defaultRowHeight="12.75"/>
  <cols>
    <col min="1" max="1" width="8.85546875" customWidth="1"/>
    <col min="2" max="2" width="60.7109375" customWidth="1"/>
    <col min="3" max="3" width="19.28515625" customWidth="1"/>
  </cols>
  <sheetData>
    <row r="1" spans="1:3" ht="18">
      <c r="A1" s="395" t="s">
        <v>97</v>
      </c>
      <c r="B1" s="395"/>
      <c r="C1" s="395"/>
    </row>
    <row r="2" spans="1:3" ht="15.75">
      <c r="A2" s="396" t="s">
        <v>98</v>
      </c>
      <c r="B2" s="397"/>
      <c r="C2" s="398"/>
    </row>
    <row r="3" spans="1:3" ht="15.75">
      <c r="A3" s="399" t="s">
        <v>99</v>
      </c>
      <c r="B3" s="400"/>
      <c r="C3" s="401"/>
    </row>
    <row r="4" spans="1:3" ht="20.25" customHeight="1">
      <c r="A4" s="402" t="s">
        <v>156</v>
      </c>
      <c r="B4" s="403"/>
      <c r="C4" s="404"/>
    </row>
    <row r="5" spans="1:3" ht="15.75">
      <c r="A5" s="392" t="s">
        <v>100</v>
      </c>
      <c r="B5" s="393"/>
      <c r="C5" s="394"/>
    </row>
    <row r="6" spans="1:3" ht="15">
      <c r="A6" s="78"/>
      <c r="B6" s="78"/>
      <c r="C6" s="78"/>
    </row>
    <row r="7" spans="1:3" ht="15.75" thickBot="1">
      <c r="A7" s="78"/>
      <c r="B7" s="78"/>
      <c r="C7" s="78"/>
    </row>
    <row r="8" spans="1:3" ht="15">
      <c r="A8" s="405" t="s">
        <v>101</v>
      </c>
      <c r="B8" s="406"/>
      <c r="C8" s="407"/>
    </row>
    <row r="9" spans="1:3">
      <c r="A9" s="110" t="s">
        <v>102</v>
      </c>
      <c r="B9" s="111" t="s">
        <v>103</v>
      </c>
      <c r="C9" s="112" t="s">
        <v>104</v>
      </c>
    </row>
    <row r="10" spans="1:3" ht="15.75">
      <c r="A10" s="113" t="s">
        <v>105</v>
      </c>
      <c r="B10" s="114" t="s">
        <v>106</v>
      </c>
      <c r="C10" s="115">
        <v>3.7999999999999999E-2</v>
      </c>
    </row>
    <row r="11" spans="1:3" ht="15.75">
      <c r="A11" s="113" t="s">
        <v>107</v>
      </c>
      <c r="B11" s="114" t="s">
        <v>108</v>
      </c>
      <c r="C11" s="116">
        <v>1.6000000000000001E-3</v>
      </c>
    </row>
    <row r="12" spans="1:3" ht="15.75">
      <c r="A12" s="113" t="s">
        <v>109</v>
      </c>
      <c r="B12" s="114" t="s">
        <v>110</v>
      </c>
      <c r="C12" s="116">
        <v>5.0000000000000001E-3</v>
      </c>
    </row>
    <row r="13" spans="1:3" ht="15.75">
      <c r="A13" s="113" t="s">
        <v>111</v>
      </c>
      <c r="B13" s="114" t="s">
        <v>112</v>
      </c>
      <c r="C13" s="116">
        <v>1.6000000000000001E-3</v>
      </c>
    </row>
    <row r="14" spans="1:3" ht="15.75">
      <c r="A14" s="113" t="s">
        <v>113</v>
      </c>
      <c r="B14" s="114" t="s">
        <v>114</v>
      </c>
      <c r="C14" s="116">
        <v>1.0200000000000001E-2</v>
      </c>
    </row>
    <row r="15" spans="1:3" ht="15.75">
      <c r="A15" s="113" t="s">
        <v>115</v>
      </c>
      <c r="B15" s="114" t="s">
        <v>116</v>
      </c>
      <c r="C15" s="116">
        <v>8.5500000000000007E-2</v>
      </c>
    </row>
    <row r="16" spans="1:3" ht="15.75">
      <c r="A16" s="113" t="s">
        <v>117</v>
      </c>
      <c r="B16" s="114" t="s">
        <v>118</v>
      </c>
      <c r="C16" s="117">
        <v>0</v>
      </c>
    </row>
    <row r="17" spans="1:6" ht="15.75">
      <c r="A17" s="118"/>
      <c r="B17" s="119" t="s">
        <v>119</v>
      </c>
      <c r="C17" s="116">
        <v>6.4999999999999997E-3</v>
      </c>
    </row>
    <row r="18" spans="1:6" ht="15.75">
      <c r="A18" s="118"/>
      <c r="B18" s="119" t="s">
        <v>120</v>
      </c>
      <c r="C18" s="116">
        <v>0.03</v>
      </c>
    </row>
    <row r="19" spans="1:6" ht="15.75">
      <c r="A19" s="118"/>
      <c r="B19" s="119" t="s">
        <v>121</v>
      </c>
      <c r="C19" s="116">
        <v>3.5000000000000003E-2</v>
      </c>
    </row>
    <row r="20" spans="1:6" ht="15">
      <c r="A20" s="118"/>
      <c r="B20" s="120" t="s">
        <v>122</v>
      </c>
      <c r="C20" s="121"/>
    </row>
    <row r="21" spans="1:6" ht="16.5" thickBot="1">
      <c r="A21" s="408" t="s">
        <v>123</v>
      </c>
      <c r="B21" s="409"/>
      <c r="C21" s="179">
        <v>0.24229999999999999</v>
      </c>
    </row>
    <row r="22" spans="1:6" ht="15">
      <c r="A22" s="78"/>
      <c r="B22" s="78"/>
      <c r="C22" s="78"/>
    </row>
    <row r="23" spans="1:6" ht="15.75">
      <c r="A23" s="410" t="s">
        <v>124</v>
      </c>
      <c r="B23" s="410"/>
      <c r="C23" s="410"/>
    </row>
    <row r="24" spans="1:6" ht="15.75">
      <c r="A24" s="411" t="s">
        <v>125</v>
      </c>
      <c r="B24" s="411"/>
      <c r="C24" s="411"/>
    </row>
    <row r="25" spans="1:6" ht="15.75">
      <c r="A25" s="410" t="s">
        <v>126</v>
      </c>
      <c r="B25" s="410"/>
      <c r="C25" s="410"/>
    </row>
    <row r="26" spans="1:6" ht="15">
      <c r="A26" s="122"/>
      <c r="B26" s="122"/>
      <c r="C26" s="78"/>
    </row>
    <row r="27" spans="1:6" ht="15">
      <c r="A27" s="122"/>
      <c r="B27" s="122"/>
      <c r="C27" s="78"/>
    </row>
    <row r="28" spans="1:6" ht="15.75">
      <c r="A28" s="413" t="s">
        <v>127</v>
      </c>
      <c r="B28" s="413"/>
      <c r="C28" s="413"/>
    </row>
    <row r="29" spans="1:6">
      <c r="A29" s="414" t="s">
        <v>128</v>
      </c>
      <c r="B29" s="414"/>
      <c r="C29" s="414"/>
    </row>
    <row r="30" spans="1:6" ht="15">
      <c r="A30" s="353" t="s">
        <v>220</v>
      </c>
      <c r="B30" s="353"/>
      <c r="C30" s="353"/>
      <c r="D30" s="225"/>
      <c r="E30" s="225"/>
      <c r="F30" s="225"/>
    </row>
    <row r="31" spans="1:6" ht="14.25">
      <c r="A31" s="417" t="s">
        <v>221</v>
      </c>
      <c r="B31" s="417"/>
      <c r="C31" s="417"/>
      <c r="D31" s="4"/>
      <c r="E31" s="4"/>
      <c r="F31" s="4"/>
    </row>
    <row r="35" spans="1:3" ht="15.75">
      <c r="A35" s="415" t="s">
        <v>129</v>
      </c>
      <c r="B35" s="415"/>
      <c r="C35" s="415"/>
    </row>
    <row r="36" spans="1:3">
      <c r="A36" s="412" t="s">
        <v>157</v>
      </c>
      <c r="B36" s="412"/>
      <c r="C36" s="412"/>
    </row>
    <row r="37" spans="1:3">
      <c r="A37" s="412" t="s">
        <v>158</v>
      </c>
      <c r="B37" s="412"/>
      <c r="C37" s="412"/>
    </row>
  </sheetData>
  <mergeCells count="17">
    <mergeCell ref="A36:C36"/>
    <mergeCell ref="A37:C37"/>
    <mergeCell ref="A28:C28"/>
    <mergeCell ref="A29:C29"/>
    <mergeCell ref="A35:C35"/>
    <mergeCell ref="A30:C30"/>
    <mergeCell ref="A31:C31"/>
    <mergeCell ref="A8:C8"/>
    <mergeCell ref="A21:B21"/>
    <mergeCell ref="A23:C23"/>
    <mergeCell ref="A24:C24"/>
    <mergeCell ref="A25:C25"/>
    <mergeCell ref="A5:C5"/>
    <mergeCell ref="A1:C1"/>
    <mergeCell ref="A2:C2"/>
    <mergeCell ref="A3:C3"/>
    <mergeCell ref="A4:C4"/>
  </mergeCells>
  <pageMargins left="0.9055118110236221" right="0.51181102362204722" top="1.7716535433070868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ANEXO 15  PLANILHA CUSTO</vt:lpstr>
      <vt:lpstr>ANEXO 32 MEMORIAL DE CÁLCULO</vt:lpstr>
      <vt:lpstr>ANEXO 16 CRONOGRAMA </vt:lpstr>
      <vt:lpstr>Tabela resumo ruas </vt:lpstr>
      <vt:lpstr>BDI</vt:lpstr>
      <vt:lpstr>BDI modelo DADE</vt:lpstr>
      <vt:lpstr>Plan1</vt:lpstr>
      <vt:lpstr>'ANEXO 15  PLANILHA CUSTO'!Area_de_impressao</vt:lpstr>
      <vt:lpstr>'ANEXO 15  PLANILHA CUSTO'!Titulos_de_impressao</vt:lpstr>
      <vt:lpstr>'ANEXO 32 MEMORIAL DE CÁLCULO'!Titulos_de_impressao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ATO</dc:creator>
  <cp:lastModifiedBy>Usuário do Windows</cp:lastModifiedBy>
  <cp:lastPrinted>2018-01-16T13:44:14Z</cp:lastPrinted>
  <dcterms:created xsi:type="dcterms:W3CDTF">2013-11-05T10:31:33Z</dcterms:created>
  <dcterms:modified xsi:type="dcterms:W3CDTF">2018-01-16T16:25:46Z</dcterms:modified>
</cp:coreProperties>
</file>