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JARDIM BOTÂNICO R 04\"/>
    </mc:Choice>
  </mc:AlternateContent>
  <bookViews>
    <workbookView xWindow="0" yWindow="0" windowWidth="20490" windowHeight="7200"/>
  </bookViews>
  <sheets>
    <sheet name="CRONOGRAMA FÍSICO-FINANCEIRO" sheetId="1" r:id="rId1"/>
  </sheets>
  <definedNames>
    <definedName name="_xlnm.Print_Area" localSheetId="0">'CRONOGRAMA FÍSICO-FINANCEIRO'!$A$1:$P$167</definedName>
    <definedName name="_xlnm.Print_Titles" localSheetId="0">'CRONOGRAMA FÍSICO-FINANCEIRO'!$1:$18</definedName>
  </definedNames>
  <calcPr calcId="152511"/>
</workbook>
</file>

<file path=xl/calcChain.xml><?xml version="1.0" encoding="utf-8"?>
<calcChain xmlns="http://schemas.openxmlformats.org/spreadsheetml/2006/main">
  <c r="P158" i="1" l="1"/>
  <c r="P160" i="1"/>
  <c r="P156" i="1" l="1"/>
  <c r="P130" i="1"/>
  <c r="P106" i="1"/>
  <c r="P102" i="1"/>
  <c r="P100" i="1"/>
  <c r="P96" i="1"/>
  <c r="P92" i="1"/>
  <c r="P86" i="1"/>
  <c r="P82" i="1"/>
  <c r="P48" i="1"/>
  <c r="P46" i="1"/>
  <c r="P38" i="1"/>
  <c r="P36" i="1"/>
  <c r="P34" i="1"/>
  <c r="P32" i="1"/>
  <c r="P30" i="1"/>
  <c r="P26" i="1"/>
  <c r="P116" i="1" l="1"/>
  <c r="P148" i="1" l="1"/>
  <c r="P140" i="1"/>
  <c r="P28" i="1"/>
  <c r="P42" i="1" l="1"/>
  <c r="H26" i="1" l="1"/>
  <c r="J26" i="1"/>
  <c r="I26" i="1"/>
  <c r="D26" i="1"/>
  <c r="N160" i="1"/>
  <c r="O160" i="1" l="1"/>
  <c r="P104" i="1" l="1"/>
  <c r="P90" i="1"/>
  <c r="P64" i="1"/>
  <c r="P154" i="1" l="1"/>
  <c r="P152" i="1"/>
  <c r="P150" i="1"/>
  <c r="P146" i="1"/>
  <c r="P144" i="1"/>
  <c r="P142" i="1"/>
  <c r="P138" i="1"/>
  <c r="P136" i="1"/>
  <c r="P134" i="1"/>
  <c r="P132" i="1"/>
  <c r="P128" i="1"/>
  <c r="P126" i="1"/>
  <c r="P124" i="1"/>
  <c r="P122" i="1"/>
  <c r="P120" i="1"/>
  <c r="P118" i="1"/>
  <c r="P114" i="1"/>
  <c r="E114" i="1" s="1"/>
  <c r="P112" i="1"/>
  <c r="K112" i="1" s="1"/>
  <c r="P110" i="1"/>
  <c r="K110" i="1" s="1"/>
  <c r="P108" i="1"/>
  <c r="K108" i="1" s="1"/>
  <c r="H106" i="1"/>
  <c r="F104" i="1"/>
  <c r="K102" i="1"/>
  <c r="P98" i="1"/>
  <c r="I96" i="1"/>
  <c r="P94" i="1"/>
  <c r="I94" i="1" s="1"/>
  <c r="H92" i="1"/>
  <c r="P88" i="1"/>
  <c r="F86" i="1"/>
  <c r="P84" i="1"/>
  <c r="E84" i="1" s="1"/>
  <c r="F84" i="1" s="1"/>
  <c r="D82" i="1"/>
  <c r="E82" i="1" s="1"/>
  <c r="P80" i="1"/>
  <c r="P78" i="1"/>
  <c r="P76" i="1"/>
  <c r="P74" i="1"/>
  <c r="P72" i="1"/>
  <c r="P70" i="1"/>
  <c r="P68" i="1"/>
  <c r="P66" i="1"/>
  <c r="P62" i="1"/>
  <c r="P60" i="1"/>
  <c r="P58" i="1"/>
  <c r="P56" i="1"/>
  <c r="P54" i="1"/>
  <c r="P52" i="1"/>
  <c r="P50" i="1"/>
  <c r="F46" i="1"/>
  <c r="P44" i="1"/>
  <c r="P40" i="1"/>
  <c r="P24" i="1"/>
  <c r="P22" i="1"/>
  <c r="P20" i="1"/>
  <c r="E20" i="1" s="1"/>
  <c r="J104" i="1"/>
  <c r="G104" i="1"/>
  <c r="H90" i="1"/>
  <c r="G88" i="1"/>
  <c r="F88" i="1"/>
  <c r="F114" i="1"/>
  <c r="G46" i="1"/>
  <c r="E46" i="1"/>
  <c r="D46" i="1"/>
  <c r="F26" i="1"/>
  <c r="H88" i="1" l="1"/>
  <c r="E86" i="1"/>
  <c r="G86" i="1" s="1"/>
  <c r="I92" i="1"/>
  <c r="D114" i="1"/>
  <c r="G114" i="1" s="1"/>
  <c r="F106" i="1"/>
  <c r="G106" i="1"/>
  <c r="K104" i="1"/>
  <c r="J100" i="1"/>
  <c r="K100" i="1" s="1"/>
  <c r="I98" i="1"/>
  <c r="J98" i="1" s="1"/>
  <c r="G26" i="1"/>
  <c r="E26" i="1"/>
  <c r="F20" i="1"/>
  <c r="G20" i="1"/>
  <c r="D20" i="1"/>
  <c r="H46" i="1"/>
  <c r="I106" i="1" l="1"/>
  <c r="H20" i="1"/>
  <c r="F80" i="1" l="1"/>
  <c r="G80" i="1"/>
  <c r="E80" i="1"/>
  <c r="D80" i="1"/>
  <c r="H80" i="1" l="1"/>
  <c r="J144" i="1"/>
  <c r="J142" i="1"/>
  <c r="H140" i="1"/>
  <c r="G140" i="1"/>
  <c r="I138" i="1"/>
  <c r="H138" i="1"/>
  <c r="J138" i="1" s="1"/>
  <c r="J136" i="1"/>
  <c r="I134" i="1"/>
  <c r="J134" i="1" s="1"/>
  <c r="J132" i="1"/>
  <c r="H130" i="1"/>
  <c r="I130" i="1" s="1"/>
  <c r="H128" i="1"/>
  <c r="I126" i="1"/>
  <c r="J126" i="1" s="1"/>
  <c r="H126" i="1"/>
  <c r="H124" i="1"/>
  <c r="G122" i="1"/>
  <c r="F122" i="1"/>
  <c r="G120" i="1"/>
  <c r="F120" i="1"/>
  <c r="E118" i="1"/>
  <c r="F118" i="1" s="1"/>
  <c r="D116" i="1"/>
  <c r="H120" i="1" l="1"/>
  <c r="H122" i="1"/>
  <c r="I140" i="1"/>
  <c r="E116" i="1"/>
  <c r="N158" i="1"/>
  <c r="J156" i="1"/>
  <c r="M156" i="1"/>
  <c r="N156" i="1"/>
  <c r="L156" i="1"/>
  <c r="K156" i="1"/>
  <c r="I156" i="1"/>
  <c r="H156" i="1"/>
  <c r="G156" i="1"/>
  <c r="F156" i="1"/>
  <c r="E156" i="1"/>
  <c r="D156" i="1"/>
  <c r="D162" i="1" s="1"/>
  <c r="L154" i="1"/>
  <c r="I154" i="1"/>
  <c r="N154" i="1"/>
  <c r="M154" i="1"/>
  <c r="K154" i="1"/>
  <c r="J154" i="1"/>
  <c r="H154" i="1"/>
  <c r="J152" i="1"/>
  <c r="G152" i="1"/>
  <c r="N152" i="1"/>
  <c r="M152" i="1"/>
  <c r="L152" i="1"/>
  <c r="K152" i="1"/>
  <c r="I152" i="1"/>
  <c r="H152" i="1"/>
  <c r="F152" i="1"/>
  <c r="E152" i="1"/>
  <c r="D152" i="1"/>
  <c r="D150" i="1"/>
  <c r="O150" i="1"/>
  <c r="N150" i="1"/>
  <c r="M150" i="1"/>
  <c r="L150" i="1"/>
  <c r="K150" i="1"/>
  <c r="J150" i="1"/>
  <c r="I150" i="1"/>
  <c r="H150" i="1"/>
  <c r="G150" i="1"/>
  <c r="F150" i="1"/>
  <c r="E150" i="1"/>
  <c r="N148" i="1"/>
  <c r="M148" i="1"/>
  <c r="L148" i="1"/>
  <c r="K148" i="1"/>
  <c r="J148" i="1"/>
  <c r="I148" i="1"/>
  <c r="H148" i="1"/>
  <c r="G148" i="1"/>
  <c r="F148" i="1"/>
  <c r="E148" i="1"/>
  <c r="D148" i="1"/>
  <c r="N146" i="1"/>
  <c r="M146" i="1"/>
  <c r="L146" i="1"/>
  <c r="K146" i="1"/>
  <c r="J146" i="1"/>
  <c r="I146" i="1"/>
  <c r="H146" i="1"/>
  <c r="G146" i="1"/>
  <c r="F146" i="1"/>
  <c r="E146" i="1"/>
  <c r="D146" i="1"/>
  <c r="O146" i="1" l="1"/>
  <c r="O152" i="1"/>
  <c r="O148" i="1"/>
  <c r="O158" i="1"/>
  <c r="O156" i="1"/>
  <c r="L78" i="1"/>
  <c r="L76" i="1"/>
  <c r="L74" i="1"/>
  <c r="I72" i="1"/>
  <c r="H72" i="1"/>
  <c r="G72" i="1"/>
  <c r="J70" i="1"/>
  <c r="K70" i="1"/>
  <c r="H70" i="1"/>
  <c r="I70" i="1"/>
  <c r="G70" i="1"/>
  <c r="O162" i="1" l="1"/>
  <c r="J72" i="1"/>
  <c r="L70" i="1"/>
  <c r="K68" i="1"/>
  <c r="L68" i="1" s="1"/>
  <c r="K66" i="1"/>
  <c r="L66" i="1" s="1"/>
  <c r="K64" i="1"/>
  <c r="L64" i="1" s="1"/>
  <c r="K62" i="1"/>
  <c r="J60" i="1"/>
  <c r="K60" i="1" s="1"/>
  <c r="J58" i="1" l="1"/>
  <c r="K58" i="1" s="1"/>
  <c r="I58" i="1"/>
  <c r="I56" i="1"/>
  <c r="H54" i="1"/>
  <c r="I54" i="1" s="1"/>
  <c r="G52" i="1"/>
  <c r="F52" i="1"/>
  <c r="G50" i="1"/>
  <c r="F50" i="1"/>
  <c r="E48" i="1"/>
  <c r="F48" i="1" l="1"/>
  <c r="E162" i="1"/>
  <c r="H50" i="1"/>
  <c r="H52" i="1"/>
  <c r="N44" i="1"/>
  <c r="O44" i="1" s="1"/>
  <c r="O42" i="1"/>
  <c r="F40" i="1"/>
  <c r="K40" i="1"/>
  <c r="J40" i="1"/>
  <c r="I40" i="1"/>
  <c r="H40" i="1"/>
  <c r="D40" i="1"/>
  <c r="L38" i="1"/>
  <c r="K36" i="1"/>
  <c r="J36" i="1"/>
  <c r="I36" i="1"/>
  <c r="H36" i="1"/>
  <c r="G36" i="1"/>
  <c r="M34" i="1"/>
  <c r="M162" i="1" s="1"/>
  <c r="H34" i="1"/>
  <c r="L34" i="1"/>
  <c r="K34" i="1"/>
  <c r="J34" i="1"/>
  <c r="I34" i="1"/>
  <c r="I32" i="1"/>
  <c r="H32" i="1"/>
  <c r="J30" i="1"/>
  <c r="I30" i="1"/>
  <c r="H30" i="1"/>
  <c r="G30" i="1"/>
  <c r="K30" i="1"/>
  <c r="F30" i="1"/>
  <c r="F162" i="1" s="1"/>
  <c r="E28" i="1"/>
  <c r="F24" i="1"/>
  <c r="G24" i="1"/>
  <c r="H24" i="1"/>
  <c r="H22" i="1"/>
  <c r="G22" i="1"/>
  <c r="F22" i="1"/>
  <c r="E24" i="1"/>
  <c r="E22" i="1"/>
  <c r="D24" i="1"/>
  <c r="D22" i="1"/>
  <c r="G162" i="1" l="1"/>
  <c r="H162" i="1"/>
  <c r="I162" i="1"/>
  <c r="J32" i="1"/>
  <c r="J162" i="1" s="1"/>
  <c r="L36" i="1"/>
  <c r="L30" i="1"/>
  <c r="F28" i="1"/>
  <c r="N34" i="1"/>
  <c r="N162" i="1" s="1"/>
  <c r="L40" i="1"/>
  <c r="L162" i="1" l="1"/>
  <c r="K26" i="1"/>
  <c r="K162" i="1" s="1"/>
  <c r="I22" i="1" l="1"/>
  <c r="I24" i="1" l="1"/>
  <c r="F154" i="1" l="1"/>
  <c r="G154" i="1"/>
  <c r="E154" i="1"/>
  <c r="D154" i="1"/>
  <c r="O154" i="1" l="1"/>
  <c r="P162" i="1" l="1"/>
  <c r="F105" i="1" s="1"/>
  <c r="J57" i="1" l="1"/>
  <c r="K153" i="1"/>
  <c r="E45" i="1"/>
  <c r="L75" i="1"/>
  <c r="P75" i="1" s="1"/>
  <c r="G35" i="1"/>
  <c r="F21" i="1"/>
  <c r="J33" i="1"/>
  <c r="N153" i="1"/>
  <c r="L39" i="1"/>
  <c r="M149" i="1"/>
  <c r="G147" i="1"/>
  <c r="H149" i="1"/>
  <c r="I71" i="1"/>
  <c r="E85" i="1"/>
  <c r="I129" i="1"/>
  <c r="I23" i="1"/>
  <c r="L69" i="1"/>
  <c r="O153" i="1"/>
  <c r="D153" i="1"/>
  <c r="I153" i="1"/>
  <c r="G29" i="1"/>
  <c r="G49" i="1"/>
  <c r="G145" i="1"/>
  <c r="I145" i="1"/>
  <c r="D155" i="1"/>
  <c r="E27" i="1"/>
  <c r="E147" i="1"/>
  <c r="I149" i="1"/>
  <c r="I93" i="1"/>
  <c r="P93" i="1" s="1"/>
  <c r="H127" i="1"/>
  <c r="P127" i="1" s="1"/>
  <c r="N149" i="1"/>
  <c r="L153" i="1"/>
  <c r="K61" i="1"/>
  <c r="P61" i="1" s="1"/>
  <c r="E19" i="1"/>
  <c r="H53" i="1"/>
  <c r="N33" i="1"/>
  <c r="D21" i="1"/>
  <c r="D25" i="1"/>
  <c r="D23" i="1"/>
  <c r="F145" i="1"/>
  <c r="H39" i="1"/>
  <c r="M33" i="1"/>
  <c r="K25" i="1"/>
  <c r="K101" i="1"/>
  <c r="P101" i="1" s="1"/>
  <c r="F25" i="1"/>
  <c r="N155" i="1"/>
  <c r="D39" i="1"/>
  <c r="L149" i="1"/>
  <c r="O147" i="1"/>
  <c r="E149" i="1"/>
  <c r="F155" i="1"/>
  <c r="K39" i="1"/>
  <c r="F29" i="1"/>
  <c r="K147" i="1"/>
  <c r="J133" i="1"/>
  <c r="D149" i="1"/>
  <c r="L77" i="1"/>
  <c r="P77" i="1" s="1"/>
  <c r="G113" i="1"/>
  <c r="K103" i="1"/>
  <c r="G155" i="1"/>
  <c r="N147" i="1"/>
  <c r="M151" i="1"/>
  <c r="F121" i="1"/>
  <c r="G139" i="1"/>
  <c r="D79" i="1"/>
  <c r="G85" i="1"/>
  <c r="N159" i="1"/>
  <c r="I105" i="1"/>
  <c r="J103" i="1"/>
  <c r="K99" i="1"/>
  <c r="I95" i="1"/>
  <c r="P95" i="1" s="1"/>
  <c r="F87" i="1"/>
  <c r="E83" i="1"/>
  <c r="I25" i="1"/>
  <c r="H45" i="1"/>
  <c r="F79" i="1"/>
  <c r="E155" i="1"/>
  <c r="E151" i="1"/>
  <c r="I147" i="1"/>
  <c r="J137" i="1"/>
  <c r="L29" i="1"/>
  <c r="J35" i="1"/>
  <c r="J145" i="1"/>
  <c r="M153" i="1"/>
  <c r="O149" i="1"/>
  <c r="E153" i="1"/>
  <c r="D147" i="1"/>
  <c r="H21" i="1"/>
  <c r="I57" i="1"/>
  <c r="I133" i="1"/>
  <c r="I69" i="1"/>
  <c r="F151" i="1"/>
  <c r="K67" i="1"/>
  <c r="H23" i="1"/>
  <c r="K33" i="1"/>
  <c r="J153" i="1"/>
  <c r="N157" i="1"/>
  <c r="H147" i="1"/>
  <c r="H125" i="1"/>
  <c r="I155" i="1"/>
  <c r="L155" i="1"/>
  <c r="J29" i="1"/>
  <c r="L63" i="1"/>
  <c r="F27" i="1"/>
  <c r="J151" i="1"/>
  <c r="N151" i="1"/>
  <c r="K155" i="1"/>
  <c r="L145" i="1"/>
  <c r="N43" i="1"/>
  <c r="O43" i="1"/>
  <c r="G119" i="1"/>
  <c r="E117" i="1"/>
  <c r="F117" i="1"/>
  <c r="G23" i="1"/>
  <c r="H29" i="1"/>
  <c r="E113" i="1"/>
  <c r="G121" i="1"/>
  <c r="F19" i="1"/>
  <c r="J59" i="1"/>
  <c r="K69" i="1"/>
  <c r="L37" i="1"/>
  <c r="P37" i="1" s="1"/>
  <c r="L65" i="1"/>
  <c r="I55" i="1"/>
  <c r="P55" i="1" s="1"/>
  <c r="O151" i="1"/>
  <c r="H129" i="1"/>
  <c r="O159" i="1"/>
  <c r="F103" i="1"/>
  <c r="J97" i="1"/>
  <c r="I91" i="1"/>
  <c r="F85" i="1"/>
  <c r="G45" i="1"/>
  <c r="E47" i="1"/>
  <c r="H139" i="1"/>
  <c r="N145" i="1"/>
  <c r="J135" i="1"/>
  <c r="P135" i="1" s="1"/>
  <c r="I151" i="1"/>
  <c r="G69" i="1"/>
  <c r="K149" i="1"/>
  <c r="L147" i="1"/>
  <c r="J147" i="1"/>
  <c r="E115" i="1"/>
  <c r="L73" i="1"/>
  <c r="P73" i="1" s="1"/>
  <c r="D151" i="1"/>
  <c r="H123" i="1"/>
  <c r="P123" i="1" s="1"/>
  <c r="I39" i="1"/>
  <c r="F51" i="1"/>
  <c r="G25" i="1"/>
  <c r="G149" i="1"/>
  <c r="H31" i="1"/>
  <c r="O155" i="1"/>
  <c r="O157" i="1"/>
  <c r="G105" i="1"/>
  <c r="K109" i="1"/>
  <c r="P109" i="1" s="1"/>
  <c r="J99" i="1"/>
  <c r="P99" i="1" s="1"/>
  <c r="H89" i="1"/>
  <c r="P89" i="1" s="1"/>
  <c r="G87" i="1"/>
  <c r="F83" i="1"/>
  <c r="F45" i="1"/>
  <c r="H19" i="1"/>
  <c r="E79" i="1"/>
  <c r="H151" i="1"/>
  <c r="F147" i="1"/>
  <c r="I139" i="1"/>
  <c r="I137" i="1"/>
  <c r="H121" i="1"/>
  <c r="I125" i="1"/>
  <c r="L151" i="1"/>
  <c r="H25" i="1"/>
  <c r="F39" i="1"/>
  <c r="M147" i="1"/>
  <c r="O41" i="1"/>
  <c r="H71" i="1"/>
  <c r="O145" i="1"/>
  <c r="J131" i="1"/>
  <c r="P131" i="1" s="1"/>
  <c r="H145" i="1"/>
  <c r="H155" i="1"/>
  <c r="D45" i="1"/>
  <c r="J71" i="1"/>
  <c r="F23" i="1"/>
  <c r="K35" i="1"/>
  <c r="K29" i="1"/>
  <c r="J39" i="1"/>
  <c r="L33" i="1"/>
  <c r="H49" i="1"/>
  <c r="K65" i="1"/>
  <c r="G151" i="1"/>
  <c r="E23" i="1"/>
  <c r="J125" i="1"/>
  <c r="H153" i="1"/>
  <c r="I33" i="1"/>
  <c r="L35" i="1"/>
  <c r="E21" i="1"/>
  <c r="D19" i="1"/>
  <c r="J149" i="1"/>
  <c r="G21" i="1"/>
  <c r="I31" i="1"/>
  <c r="G71" i="1"/>
  <c r="H35" i="1"/>
  <c r="J31" i="1"/>
  <c r="G51" i="1"/>
  <c r="J155" i="1"/>
  <c r="K57" i="1"/>
  <c r="I21" i="1"/>
  <c r="F149" i="1"/>
  <c r="H119" i="1"/>
  <c r="L67" i="1"/>
  <c r="H33" i="1"/>
  <c r="F153" i="1"/>
  <c r="K111" i="1"/>
  <c r="P111" i="1" s="1"/>
  <c r="E81" i="1"/>
  <c r="H79" i="1"/>
  <c r="J141" i="1"/>
  <c r="P141" i="1" s="1"/>
  <c r="M155" i="1"/>
  <c r="H137" i="1"/>
  <c r="H51" i="1"/>
  <c r="F47" i="1"/>
  <c r="E25" i="1"/>
  <c r="I29" i="1"/>
  <c r="K59" i="1"/>
  <c r="F119" i="1"/>
  <c r="I35" i="1"/>
  <c r="M145" i="1"/>
  <c r="K151" i="1"/>
  <c r="D145" i="1"/>
  <c r="K145" i="1"/>
  <c r="I53" i="1"/>
  <c r="G153" i="1"/>
  <c r="K63" i="1"/>
  <c r="D115" i="1"/>
  <c r="P115" i="1" s="1"/>
  <c r="H69" i="1"/>
  <c r="D113" i="1"/>
  <c r="J69" i="1"/>
  <c r="E145" i="1"/>
  <c r="F49" i="1"/>
  <c r="J143" i="1"/>
  <c r="P143" i="1" s="1"/>
  <c r="G79" i="1"/>
  <c r="G19" i="1"/>
  <c r="J25" i="1"/>
  <c r="F113" i="1"/>
  <c r="D81" i="1"/>
  <c r="H87" i="1"/>
  <c r="H91" i="1"/>
  <c r="I97" i="1"/>
  <c r="K107" i="1"/>
  <c r="P107" i="1" s="1"/>
  <c r="G103" i="1"/>
  <c r="H105" i="1"/>
  <c r="P41" i="1"/>
  <c r="P91" i="1" l="1"/>
  <c r="P67" i="1"/>
  <c r="P57" i="1"/>
  <c r="P103" i="1"/>
  <c r="P121" i="1"/>
  <c r="P53" i="1"/>
  <c r="P63" i="1"/>
  <c r="P145" i="1"/>
  <c r="P119" i="1"/>
  <c r="P105" i="1"/>
  <c r="P117" i="1"/>
  <c r="P139" i="1"/>
  <c r="P65" i="1"/>
  <c r="P43" i="1"/>
  <c r="P149" i="1"/>
  <c r="P97" i="1"/>
  <c r="O161" i="1"/>
  <c r="P151" i="1"/>
  <c r="P59" i="1"/>
  <c r="P125" i="1"/>
  <c r="P39" i="1"/>
  <c r="P23" i="1"/>
  <c r="P133" i="1"/>
  <c r="P25" i="1"/>
  <c r="P85" i="1"/>
  <c r="P87" i="1"/>
  <c r="P33" i="1"/>
  <c r="P129" i="1"/>
  <c r="P157" i="1"/>
  <c r="P83" i="1"/>
  <c r="P35" i="1"/>
  <c r="N161" i="1"/>
  <c r="M161" i="1"/>
  <c r="L161" i="1"/>
  <c r="K161" i="1"/>
  <c r="J161" i="1"/>
  <c r="I161" i="1"/>
  <c r="G161" i="1"/>
  <c r="H161" i="1"/>
  <c r="F161" i="1"/>
  <c r="E161" i="1"/>
  <c r="P153" i="1"/>
  <c r="P147" i="1"/>
  <c r="D161" i="1"/>
  <c r="P51" i="1"/>
  <c r="P31" i="1"/>
  <c r="P155" i="1"/>
  <c r="P71" i="1"/>
  <c r="P137" i="1"/>
  <c r="P79" i="1"/>
  <c r="P113" i="1"/>
  <c r="P27" i="1"/>
  <c r="P19" i="1"/>
  <c r="P45" i="1"/>
  <c r="P29" i="1"/>
  <c r="P69" i="1"/>
  <c r="P47" i="1"/>
  <c r="P21" i="1"/>
  <c r="P81" i="1"/>
  <c r="P49" i="1"/>
  <c r="P159" i="1"/>
  <c r="P161" i="1" l="1"/>
</calcChain>
</file>

<file path=xl/sharedStrings.xml><?xml version="1.0" encoding="utf-8"?>
<sst xmlns="http://schemas.openxmlformats.org/spreadsheetml/2006/main" count="178" uniqueCount="93">
  <si>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</si>
  <si>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</si>
  <si>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</si>
  <si>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</si>
  <si>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</si>
  <si>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MÊS 5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</si>
  <si>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</si>
  <si>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</si>
  <si>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r>
      <rPr>
        <sz val="8"/>
        <rFont val="Arial"/>
        <family val="2"/>
      </rPr>
      <t>1.0</t>
    </r>
  </si>
  <si>
    <r>
      <rPr>
        <b/>
        <sz val="8"/>
        <rFont val="Arial"/>
        <family val="2"/>
      </rPr>
      <t>TOTAL (%)</t>
    </r>
  </si>
  <si>
    <r>
      <rPr>
        <b/>
        <sz val="8"/>
        <rFont val="Arial"/>
        <family val="2"/>
      </rPr>
      <t>TOTAL COM BDI (R$)</t>
    </r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</si>
  <si>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</si>
  <si>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</si>
  <si>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</si>
  <si>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</si>
  <si>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</si>
  <si>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</si>
  <si>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</si>
  <si>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</si>
  <si>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</si>
  <si>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</si>
  <si>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</si>
  <si>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</si>
  <si>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</si>
  <si>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</si>
  <si>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</si>
  <si>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MÊS 6</t>
  </si>
  <si>
    <t>17.0</t>
  </si>
  <si>
    <t>MÊS 7</t>
  </si>
  <si>
    <t>MÊS 8</t>
  </si>
  <si>
    <t>MÊS 9</t>
  </si>
  <si>
    <t>MÊS 10</t>
  </si>
  <si>
    <t>Prefeitura Municipal da Estância Turistica de Paraguaçu Paulista</t>
  </si>
  <si>
    <t>CAU Nº.: A96375-5</t>
  </si>
  <si>
    <t>CRONOGRAMA FÍSICO FINANCEIRO</t>
  </si>
  <si>
    <t>Estado de São paulo</t>
  </si>
  <si>
    <t>Resp. Técnico: Arq. Dênis Mendes de Moraes</t>
  </si>
  <si>
    <t>LOCAL: RUA AGENOR GIANASI</t>
  </si>
  <si>
    <t>CONVÊNIO: SECRETARIA DE TURISMO – DEPARTAMENTO DE APOIO AO DESENVOLVIMENTO DAS ESTÂNCIAS – DADE 2018</t>
  </si>
  <si>
    <t>DATA: ABRIL 2018</t>
  </si>
  <si>
    <t xml:space="preserve">1                     30 </t>
  </si>
  <si>
    <t>MÊS 11</t>
  </si>
  <si>
    <t>MÊS 12</t>
  </si>
  <si>
    <t>A</t>
  </si>
  <si>
    <t>1.0</t>
  </si>
  <si>
    <t>B</t>
  </si>
  <si>
    <t>C</t>
  </si>
  <si>
    <t>D</t>
  </si>
  <si>
    <t>E</t>
  </si>
  <si>
    <t>F</t>
  </si>
  <si>
    <t>G</t>
  </si>
  <si>
    <t>Serviços Preliminares</t>
  </si>
  <si>
    <t>Infraestrutura</t>
  </si>
  <si>
    <t>Fechamento</t>
  </si>
  <si>
    <t>Drenagem de Águas Pluviais</t>
  </si>
  <si>
    <t>Pavimentação de Bloco de Concreto</t>
  </si>
  <si>
    <t>Pavimentação de Bloco de Concreto Permeável</t>
  </si>
  <si>
    <t>Guias e Sarjetas</t>
  </si>
  <si>
    <t>Pavimentação de Bloco de Concreto para Pedestres</t>
  </si>
  <si>
    <t>Pintura e Sinalização</t>
  </si>
  <si>
    <t>Instalações Elétricas</t>
  </si>
  <si>
    <t>Paisagismo</t>
  </si>
  <si>
    <t>Limpeza</t>
  </si>
  <si>
    <t>Supraestrutura</t>
  </si>
  <si>
    <t>Alvenaria</t>
  </si>
  <si>
    <t>Cobertura</t>
  </si>
  <si>
    <t>Forro</t>
  </si>
  <si>
    <t>Revestimento</t>
  </si>
  <si>
    <t>Piso interno</t>
  </si>
  <si>
    <t>Piso externo</t>
  </si>
  <si>
    <t>Aberturas</t>
  </si>
  <si>
    <t xml:space="preserve">Pintura </t>
  </si>
  <si>
    <t>Louças, Metais e Acabamentos</t>
  </si>
  <si>
    <t>Incêndio e Sinalização</t>
  </si>
  <si>
    <t>Climatização</t>
  </si>
  <si>
    <t>Piso Interno</t>
  </si>
  <si>
    <t>Piso externo - Bloco de concreto intertravado</t>
  </si>
  <si>
    <t>Pintura</t>
  </si>
  <si>
    <t>Instalação Elétrica e Telefônica</t>
  </si>
  <si>
    <t>Instalação Hidrosanitária</t>
  </si>
  <si>
    <t>Instalação Elétrica</t>
  </si>
  <si>
    <t>Instalação Hidráulica</t>
  </si>
  <si>
    <t>Canteiro de Obras</t>
  </si>
  <si>
    <t>Serviços Preliminares da Obra</t>
  </si>
  <si>
    <t>Terraplenagem</t>
  </si>
  <si>
    <t>Canalização em Gabiões Caixa e Colchões Reno</t>
  </si>
  <si>
    <t>Aterro ao Tardoz da Estrutura em Gabiões</t>
  </si>
  <si>
    <t>Acabamentos e Conservação Final</t>
  </si>
  <si>
    <t>OBJETO: IMPLANTAÇÃO DO JARDIM BOTÂNICO NO DISTRITO DE CONCEIÇÃO DE MONTE ALEGRE PARA FINS TURÍSTICOS - FASE 1 - DADETUR 2018</t>
  </si>
  <si>
    <t>Paisagismo com mudas nativas e exóticas</t>
  </si>
  <si>
    <t>RRT: 6870268</t>
  </si>
  <si>
    <t>H</t>
  </si>
  <si>
    <t>Entrada Jardim Botânico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</si>
</sst>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6" x14ac:knownFonts="1">
    <font>
      <sz val="10"/>
      <color rgb="FF000000"/>
      <name val="Times New Roman"/>
      <charset val="204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Arial"/>
      <family val="2"/>
    </font>
    <font>
      <b/>
      <sz val="13.5"/>
      <color rgb="FF00000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8">
    <xf numFmtId="0" fontId="0" fillId="0" borderId="0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0" fontId="3" fillId="4" borderId="11" xfId="0" applyFont="1" applyFill="1" applyBorder="1" applyAlignment="1">
      <alignment horizontal="center" vertical="top" wrapText="1"/>
    </xf>
    <xf numFmtId="1" fontId="4" fillId="4" borderId="11" xfId="0" applyNumberFormat="1" applyFont="1" applyFill="1" applyBorder="1" applyAlignment="1">
      <alignment horizontal="right" vertical="top" wrapText="1"/>
    </xf>
    <xf numFmtId="44" fontId="9" fillId="3" borderId="1" xfId="1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left" vertical="top" wrapText="1"/>
    </xf>
    <xf numFmtId="0" fontId="5" fillId="0" borderId="15" xfId="0" applyFont="1" applyFill="1" applyBorder="1" applyAlignment="1">
      <alignment vertical="top" wrapText="1"/>
    </xf>
    <xf numFmtId="0" fontId="5" fillId="0" borderId="16" xfId="0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top" wrapText="1"/>
    </xf>
    <xf numFmtId="0" fontId="0" fillId="3" borderId="6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5" fillId="0" borderId="9" xfId="0" applyFont="1" applyFill="1" applyBorder="1" applyAlignment="1"/>
    <xf numFmtId="0" fontId="5" fillId="0" borderId="0" xfId="0" applyFont="1" applyFill="1" applyBorder="1" applyAlignment="1"/>
    <xf numFmtId="0" fontId="5" fillId="0" borderId="10" xfId="0" applyFont="1" applyFill="1" applyBorder="1" applyAlignment="1"/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10" fontId="9" fillId="3" borderId="1" xfId="0" applyNumberFormat="1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0" fillId="4" borderId="7" xfId="0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center" vertical="top" wrapText="1"/>
    </xf>
    <xf numFmtId="44" fontId="0" fillId="0" borderId="0" xfId="0" applyNumberFormat="1" applyFill="1" applyBorder="1" applyAlignment="1">
      <alignment horizontal="left" vertical="top"/>
    </xf>
    <xf numFmtId="0" fontId="10" fillId="0" borderId="32" xfId="0" applyFont="1" applyFill="1" applyBorder="1" applyAlignment="1"/>
    <xf numFmtId="0" fontId="10" fillId="0" borderId="16" xfId="0" applyFont="1" applyFill="1" applyBorder="1" applyAlignment="1"/>
    <xf numFmtId="0" fontId="10" fillId="0" borderId="33" xfId="0" applyFont="1" applyFill="1" applyBorder="1" applyAlignment="1"/>
    <xf numFmtId="10" fontId="14" fillId="2" borderId="5" xfId="0" applyNumberFormat="1" applyFont="1" applyFill="1" applyBorder="1" applyAlignment="1">
      <alignment horizontal="center" vertical="top" wrapText="1"/>
    </xf>
    <xf numFmtId="44" fontId="14" fillId="0" borderId="11" xfId="1" applyFont="1" applyFill="1" applyBorder="1" applyAlignment="1">
      <alignment horizontal="center" vertical="top" wrapText="1"/>
    </xf>
    <xf numFmtId="10" fontId="14" fillId="3" borderId="1" xfId="0" applyNumberFormat="1" applyFont="1" applyFill="1" applyBorder="1" applyAlignment="1">
      <alignment horizontal="center" vertical="top" wrapText="1"/>
    </xf>
    <xf numFmtId="44" fontId="14" fillId="3" borderId="1" xfId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0" fontId="9" fillId="3" borderId="5" xfId="0" applyNumberFormat="1" applyFont="1" applyFill="1" applyBorder="1" applyAlignment="1">
      <alignment horizontal="right" vertical="top" wrapText="1"/>
    </xf>
    <xf numFmtId="44" fontId="15" fillId="3" borderId="11" xfId="1" applyFont="1" applyFill="1" applyBorder="1" applyAlignment="1">
      <alignment horizontal="right" vertical="top" wrapText="1"/>
    </xf>
    <xf numFmtId="10" fontId="14" fillId="3" borderId="4" xfId="0" applyNumberFormat="1" applyFont="1" applyFill="1" applyBorder="1" applyAlignment="1">
      <alignment horizontal="center" vertical="top" wrapText="1"/>
    </xf>
    <xf numFmtId="44" fontId="14" fillId="4" borderId="18" xfId="1" applyFont="1" applyFill="1" applyBorder="1" applyAlignment="1">
      <alignment horizontal="center" vertical="top" wrapText="1"/>
    </xf>
    <xf numFmtId="44" fontId="14" fillId="4" borderId="5" xfId="1" applyFont="1" applyFill="1" applyBorder="1" applyAlignment="1">
      <alignment horizontal="center" vertical="top" wrapText="1"/>
    </xf>
    <xf numFmtId="10" fontId="14" fillId="4" borderId="5" xfId="0" applyNumberFormat="1" applyFont="1" applyFill="1" applyBorder="1" applyAlignment="1">
      <alignment horizontal="center" vertical="top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0" fillId="0" borderId="3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31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center" wrapText="1" indent="1"/>
    </xf>
    <xf numFmtId="0" fontId="3" fillId="4" borderId="14" xfId="0" applyFont="1" applyFill="1" applyBorder="1" applyAlignment="1">
      <alignment horizontal="left" vertical="center" wrapText="1" indent="1"/>
    </xf>
    <xf numFmtId="0" fontId="3" fillId="4" borderId="5" xfId="0" applyFont="1" applyFill="1" applyBorder="1" applyAlignment="1">
      <alignment horizontal="left" vertical="center" wrapText="1" indent="1"/>
    </xf>
    <xf numFmtId="0" fontId="3" fillId="4" borderId="11" xfId="0" applyFont="1" applyFill="1" applyBorder="1" applyAlignment="1">
      <alignment horizontal="left" vertical="center" wrapText="1" indent="1"/>
    </xf>
    <xf numFmtId="0" fontId="1" fillId="3" borderId="1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 indent="2"/>
    </xf>
    <xf numFmtId="0" fontId="2" fillId="4" borderId="11" xfId="0" applyFont="1" applyFill="1" applyBorder="1" applyAlignment="1">
      <alignment horizontal="left" vertical="top" wrapText="1" indent="2"/>
    </xf>
    <xf numFmtId="0" fontId="2" fillId="4" borderId="9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inden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left" vertical="center" wrapText="1" indent="1"/>
    </xf>
    <xf numFmtId="0" fontId="13" fillId="4" borderId="26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892969</xdr:colOff>
      <xdr:row>0</xdr:row>
      <xdr:rowOff>76200</xdr:rowOff>
    </xdr:from>
    <xdr:to>
      <xdr:col>8</xdr:col>
      <xdr:colOff>497998</xdr:colOff>
      <xdr:row>5</xdr:row>
      <xdr:rowOff>49530</xdr:rowOff>
    </xdr:to>
    <xdr:pic>
      <xdr:nvPicPr>
        <xdr:cNvPr id="3" name="Figura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762750" y="76200"/>
          <a:ext cx="607537" cy="806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9"/>
  <sheetViews>
    <sheetView tabSelected="1" topLeftCell="K146" zoomScaleNormal="100" workbookViewId="0">
      <selection activeCell="P159" sqref="P159"/>
    </sheetView>
  </sheetViews>
  <sheetFormatPr defaultRowHeight="12.75" x14ac:dyDescent="0.2"/>
  <cols>
    <col min="1" max="2" width="7.1640625" customWidth="1"/>
    <col min="3" max="3" width="25.1640625" customWidth="1"/>
    <col min="4" max="4" width="17.5" customWidth="1"/>
    <col min="5" max="5" width="17.5" bestFit="1" customWidth="1"/>
    <col min="6" max="6" width="17.5" customWidth="1"/>
    <col min="7" max="7" width="16.1640625" customWidth="1"/>
    <col min="8" max="8" width="17.5" customWidth="1"/>
    <col min="9" max="9" width="16.1640625" customWidth="1"/>
    <col min="10" max="10" width="16.33203125" customWidth="1"/>
    <col min="11" max="11" width="16.5" customWidth="1"/>
    <col min="12" max="15" width="17.5" customWidth="1"/>
    <col min="16" max="16" width="18.1640625" customWidth="1"/>
    <col min="17" max="17" width="20.5" customWidth="1"/>
  </cols>
  <sheetData>
    <row r="1" spans="1:16" ht="12.75" customHeight="1" x14ac:dyDescent="0.2">
      <c r="A1" s="43" t="s">
        <v>32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5"/>
    </row>
    <row r="2" spans="1:16" x14ac:dyDescent="0.2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8"/>
    </row>
    <row r="3" spans="1:16" x14ac:dyDescent="0.2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</row>
    <row r="4" spans="1:16" x14ac:dyDescent="0.2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</row>
    <row r="5" spans="1:16" x14ac:dyDescent="0.2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1:16" x14ac:dyDescent="0.2">
      <c r="A6" s="46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8"/>
    </row>
    <row r="7" spans="1:16" x14ac:dyDescent="0.2">
      <c r="A7" s="46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8"/>
    </row>
    <row r="8" spans="1:16" x14ac:dyDescent="0.2">
      <c r="A8" s="49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1"/>
    </row>
    <row r="9" spans="1:16" x14ac:dyDescent="0.2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7"/>
    </row>
    <row r="10" spans="1:16" ht="12" customHeight="1" x14ac:dyDescent="0.2">
      <c r="A10" s="64" t="s">
        <v>34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6"/>
    </row>
    <row r="11" spans="1:16" ht="8.1" customHeight="1" x14ac:dyDescent="0.2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ht="21.95" customHeight="1" x14ac:dyDescent="0.2">
      <c r="A12" s="68" t="s">
        <v>88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70"/>
    </row>
    <row r="13" spans="1:16" ht="18" customHeight="1" x14ac:dyDescent="0.2">
      <c r="A13" s="71" t="s">
        <v>37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3"/>
    </row>
    <row r="14" spans="1:16" ht="26.25" customHeight="1" x14ac:dyDescent="0.2">
      <c r="A14" s="71" t="s">
        <v>38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3"/>
    </row>
    <row r="15" spans="1:16" ht="15" customHeight="1" x14ac:dyDescent="0.2">
      <c r="A15" s="78" t="s">
        <v>39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80"/>
    </row>
    <row r="16" spans="1:16" ht="7.5" customHeight="1" x14ac:dyDescent="0.2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7" ht="9.9499999999999993" customHeight="1" x14ac:dyDescent="0.2">
      <c r="A17" s="1"/>
      <c r="B17" s="22"/>
      <c r="C17" s="2" t="s">
        <v>0</v>
      </c>
      <c r="D17" s="3" t="s">
        <v>1</v>
      </c>
      <c r="E17" s="3" t="s">
        <v>2</v>
      </c>
      <c r="F17" s="3" t="s">
        <v>3</v>
      </c>
      <c r="G17" s="3" t="s">
        <v>4</v>
      </c>
      <c r="H17" s="3" t="s">
        <v>5</v>
      </c>
      <c r="I17" s="23" t="s">
        <v>26</v>
      </c>
      <c r="J17" s="23" t="s">
        <v>28</v>
      </c>
      <c r="K17" s="23" t="s">
        <v>29</v>
      </c>
      <c r="L17" s="23" t="s">
        <v>30</v>
      </c>
      <c r="M17" s="23" t="s">
        <v>31</v>
      </c>
      <c r="N17" s="3" t="s">
        <v>41</v>
      </c>
      <c r="O17" s="3" t="s">
        <v>42</v>
      </c>
      <c r="P17" s="81" t="s">
        <v>6</v>
      </c>
    </row>
    <row r="18" spans="1:17" ht="9" customHeight="1" x14ac:dyDescent="0.2">
      <c r="A18" s="83" t="s">
        <v>7</v>
      </c>
      <c r="B18" s="84"/>
      <c r="C18" s="85"/>
      <c r="D18" s="4" t="s">
        <v>40</v>
      </c>
      <c r="E18" s="5">
        <v>60</v>
      </c>
      <c r="F18" s="5">
        <v>90</v>
      </c>
      <c r="G18" s="5">
        <v>120</v>
      </c>
      <c r="H18" s="5">
        <v>150</v>
      </c>
      <c r="I18" s="5">
        <v>180</v>
      </c>
      <c r="J18" s="5">
        <v>210</v>
      </c>
      <c r="K18" s="5">
        <v>240</v>
      </c>
      <c r="L18" s="5">
        <v>270</v>
      </c>
      <c r="M18" s="5">
        <v>300</v>
      </c>
      <c r="N18" s="5">
        <v>330</v>
      </c>
      <c r="O18" s="5">
        <v>360</v>
      </c>
      <c r="P18" s="82"/>
    </row>
    <row r="19" spans="1:17" ht="15" customHeight="1" x14ac:dyDescent="0.2">
      <c r="A19" s="86" t="s">
        <v>43</v>
      </c>
      <c r="B19" s="74" t="s">
        <v>8</v>
      </c>
      <c r="C19" s="55" t="s">
        <v>51</v>
      </c>
      <c r="D19" s="28">
        <f>ROUND((D20/P162),4)</f>
        <v>5.0000000000000001E-4</v>
      </c>
      <c r="E19" s="28">
        <f>ROUND((E20/P162),4)</f>
        <v>4.0000000000000002E-4</v>
      </c>
      <c r="F19" s="28">
        <f>ROUND((F20/P162),4)</f>
        <v>2.0000000000000001E-4</v>
      </c>
      <c r="G19" s="28">
        <f>ROUND((G20/P162),4)</f>
        <v>2.0000000000000001E-4</v>
      </c>
      <c r="H19" s="28">
        <f>ROUND((H20/P162),4)</f>
        <v>2.0000000000000001E-4</v>
      </c>
      <c r="I19" s="28"/>
      <c r="J19" s="28"/>
      <c r="K19" s="28"/>
      <c r="L19" s="28"/>
      <c r="M19" s="28"/>
      <c r="N19" s="28"/>
      <c r="O19" s="28"/>
      <c r="P19" s="33">
        <f>ROUND(SUM(D19:O19),4)</f>
        <v>1.5E-3</v>
      </c>
    </row>
    <row r="20" spans="1:17" ht="15" customHeight="1" x14ac:dyDescent="0.2">
      <c r="A20" s="87"/>
      <c r="B20" s="75"/>
      <c r="C20" s="56"/>
      <c r="D20" s="29">
        <f>ROUND((P20*0.3),2)</f>
        <v>1330.52</v>
      </c>
      <c r="E20" s="29">
        <f>ROUND((P20*0.25),2)</f>
        <v>1108.77</v>
      </c>
      <c r="F20" s="29">
        <f>ROUND((P20*0.15),2)</f>
        <v>665.26</v>
      </c>
      <c r="G20" s="29">
        <f>ROUND((P20*0.15),2)</f>
        <v>665.26</v>
      </c>
      <c r="H20" s="29">
        <f>ROUND((P20-D20-E20-F20-G20),2)</f>
        <v>665.27</v>
      </c>
      <c r="I20" s="29"/>
      <c r="J20" s="29"/>
      <c r="K20" s="29"/>
      <c r="L20" s="29"/>
      <c r="M20" s="29"/>
      <c r="N20" s="29"/>
      <c r="O20" s="29"/>
      <c r="P20" s="34">
        <f>ROUND((3502.39+(3502.39*0.2663)),2)</f>
        <v>4435.08</v>
      </c>
      <c r="Q20" s="24"/>
    </row>
    <row r="21" spans="1:17" ht="15" customHeight="1" x14ac:dyDescent="0.2">
      <c r="A21" s="87"/>
      <c r="B21" s="89" t="s">
        <v>11</v>
      </c>
      <c r="C21" s="55" t="s">
        <v>52</v>
      </c>
      <c r="D21" s="28">
        <f>ROUND((D22/P162),4)</f>
        <v>6.4999999999999997E-3</v>
      </c>
      <c r="E21" s="28">
        <f>ROUND((E22/P162),4)</f>
        <v>6.4999999999999997E-3</v>
      </c>
      <c r="F21" s="28">
        <f>ROUND((F22/P162),4)</f>
        <v>6.4999999999999997E-3</v>
      </c>
      <c r="G21" s="28">
        <f>ROUND((G22/P162),4)</f>
        <v>4.8999999999999998E-3</v>
      </c>
      <c r="H21" s="28">
        <f>ROUND((H22/P162),4)</f>
        <v>4.8999999999999998E-3</v>
      </c>
      <c r="I21" s="28">
        <f>ROUND((I22/P162),4)</f>
        <v>3.3E-3</v>
      </c>
      <c r="J21" s="28"/>
      <c r="K21" s="28"/>
      <c r="L21" s="28"/>
      <c r="M21" s="28"/>
      <c r="N21" s="28"/>
      <c r="O21" s="28"/>
      <c r="P21" s="33">
        <f>ROUND(SUM(D21:O21),4)</f>
        <v>3.2599999999999997E-2</v>
      </c>
      <c r="Q21" s="24"/>
    </row>
    <row r="22" spans="1:17" ht="15" customHeight="1" x14ac:dyDescent="0.2">
      <c r="A22" s="87"/>
      <c r="B22" s="75"/>
      <c r="C22" s="56"/>
      <c r="D22" s="29">
        <f>ROUND((P22*0.2),2)</f>
        <v>18200.28</v>
      </c>
      <c r="E22" s="29">
        <f>ROUND((P22*0.2),2)</f>
        <v>18200.28</v>
      </c>
      <c r="F22" s="29">
        <f>ROUND((P22*0.2),2)</f>
        <v>18200.28</v>
      </c>
      <c r="G22" s="29">
        <f>ROUND((P22*0.15),2)</f>
        <v>13650.21</v>
      </c>
      <c r="H22" s="29">
        <f>ROUND((P22*0.15),2)</f>
        <v>13650.21</v>
      </c>
      <c r="I22" s="29">
        <f>ROUND((P22-D22-E22-F22-G22-H22),2)</f>
        <v>9100.15</v>
      </c>
      <c r="J22" s="29"/>
      <c r="K22" s="29"/>
      <c r="L22" s="29"/>
      <c r="M22" s="29"/>
      <c r="N22" s="29"/>
      <c r="O22" s="29"/>
      <c r="P22" s="34">
        <f>ROUND((71864.02+(71864.02*0.2663)),2)</f>
        <v>91001.41</v>
      </c>
      <c r="Q22" s="24"/>
    </row>
    <row r="23" spans="1:17" ht="15" customHeight="1" x14ac:dyDescent="0.2">
      <c r="A23" s="87"/>
      <c r="B23" s="89" t="s">
        <v>12</v>
      </c>
      <c r="C23" s="55" t="s">
        <v>53</v>
      </c>
      <c r="D23" s="28">
        <f>ROUND((D24/P162),4)</f>
        <v>6.7999999999999996E-3</v>
      </c>
      <c r="E23" s="28">
        <f>ROUND((E24/P162),4)</f>
        <v>6.7999999999999996E-3</v>
      </c>
      <c r="F23" s="28">
        <f>ROUND((F24/P162),4)</f>
        <v>2.0400000000000001E-2</v>
      </c>
      <c r="G23" s="28">
        <f>ROUND((G24/P162),4)</f>
        <v>2.0400000000000001E-2</v>
      </c>
      <c r="H23" s="28">
        <f>ROUND((H24/P162),4)</f>
        <v>1.0200000000000001E-2</v>
      </c>
      <c r="I23" s="28">
        <f>ROUND((I24/P162),4)</f>
        <v>3.3999999999999998E-3</v>
      </c>
      <c r="J23" s="28"/>
      <c r="K23" s="28"/>
      <c r="L23" s="28"/>
      <c r="M23" s="28"/>
      <c r="N23" s="28"/>
      <c r="O23" s="28"/>
      <c r="P23" s="33">
        <f>ROUND(SUM(D23:O23),4)</f>
        <v>6.8000000000000005E-2</v>
      </c>
      <c r="Q23" s="24"/>
    </row>
    <row r="24" spans="1:17" ht="15" customHeight="1" x14ac:dyDescent="0.2">
      <c r="A24" s="88"/>
      <c r="B24" s="75"/>
      <c r="C24" s="56"/>
      <c r="D24" s="29">
        <f>ROUND((P24*0.1),2)</f>
        <v>18931.61</v>
      </c>
      <c r="E24" s="29">
        <f>ROUND((P24*0.1),2)</f>
        <v>18931.61</v>
      </c>
      <c r="F24" s="29">
        <f>ROUND((P24*0.3),2)</f>
        <v>56794.83</v>
      </c>
      <c r="G24" s="29">
        <f>ROUND((P24*0.3),2)</f>
        <v>56794.83</v>
      </c>
      <c r="H24" s="29">
        <f>ROUND((P24*0.15),2)</f>
        <v>28397.41</v>
      </c>
      <c r="I24" s="29">
        <f>ROUND((P24-H24-G24-F24-E24-D24),2)</f>
        <v>9465.7999999999993</v>
      </c>
      <c r="J24" s="29"/>
      <c r="K24" s="29"/>
      <c r="L24" s="29"/>
      <c r="M24" s="29"/>
      <c r="N24" s="29"/>
      <c r="O24" s="29"/>
      <c r="P24" s="34">
        <f>ROUND((149503.35+(149503.35*0.2663)),2)</f>
        <v>189316.09</v>
      </c>
      <c r="Q24" s="24"/>
    </row>
    <row r="25" spans="1:17" ht="15" customHeight="1" x14ac:dyDescent="0.2">
      <c r="A25" s="86" t="s">
        <v>45</v>
      </c>
      <c r="B25" s="74" t="s">
        <v>44</v>
      </c>
      <c r="C25" s="55" t="s">
        <v>51</v>
      </c>
      <c r="D25" s="28">
        <f>ROUND((D26/P162),4)</f>
        <v>4.1999999999999997E-3</v>
      </c>
      <c r="E25" s="28">
        <f>ROUND((E26/P162),4)</f>
        <v>4.1999999999999997E-3</v>
      </c>
      <c r="F25" s="28">
        <f>ROUND((F26/P162),4)</f>
        <v>4.1999999999999997E-3</v>
      </c>
      <c r="G25" s="28">
        <f>ROUND((G26/P162),4)</f>
        <v>3.2000000000000002E-3</v>
      </c>
      <c r="H25" s="28">
        <f>ROUND((H26/P162),4)</f>
        <v>2.0999999999999999E-3</v>
      </c>
      <c r="I25" s="28">
        <f>ROUND((I26/P162),4)</f>
        <v>1.1000000000000001E-3</v>
      </c>
      <c r="J25" s="28">
        <f>ROUND((J26/P162),4)</f>
        <v>1.1000000000000001E-3</v>
      </c>
      <c r="K25" s="28">
        <f>ROUND((K26/P162),4)</f>
        <v>1.1000000000000001E-3</v>
      </c>
      <c r="L25" s="28"/>
      <c r="M25" s="28"/>
      <c r="N25" s="28"/>
      <c r="O25" s="28"/>
      <c r="P25" s="33">
        <f>ROUND(SUM(D25:O25),4)</f>
        <v>2.12E-2</v>
      </c>
      <c r="Q25" s="24"/>
    </row>
    <row r="26" spans="1:17" ht="15" customHeight="1" x14ac:dyDescent="0.2">
      <c r="A26" s="87"/>
      <c r="B26" s="75"/>
      <c r="C26" s="56"/>
      <c r="D26" s="29">
        <f>ROUND((P26*0.2),2)</f>
        <v>11805.26</v>
      </c>
      <c r="E26" s="29">
        <f>ROUND((P26*0.2),2)</f>
        <v>11805.26</v>
      </c>
      <c r="F26" s="29">
        <f>ROUND((P26*0.2),2)</f>
        <v>11805.26</v>
      </c>
      <c r="G26" s="29">
        <f>ROUND((P26*0.15),2)</f>
        <v>8853.94</v>
      </c>
      <c r="H26" s="29">
        <f>ROUND((P26*0.1),2)</f>
        <v>5902.63</v>
      </c>
      <c r="I26" s="29">
        <f>ROUND((P26*0.05),2)</f>
        <v>2951.31</v>
      </c>
      <c r="J26" s="29">
        <f>ROUND((P26*0.05),2)</f>
        <v>2951.31</v>
      </c>
      <c r="K26" s="29">
        <f>ROUND((P26-D26-E26-F26-G26-H26-I26-J26),2)</f>
        <v>2951.31</v>
      </c>
      <c r="L26" s="29"/>
      <c r="M26" s="29"/>
      <c r="N26" s="29"/>
      <c r="O26" s="29"/>
      <c r="P26" s="34">
        <f>ROUND((46613.19+(46613.19*0.2663)),2)</f>
        <v>59026.28</v>
      </c>
      <c r="Q26" s="24"/>
    </row>
    <row r="27" spans="1:17" ht="15" customHeight="1" x14ac:dyDescent="0.2">
      <c r="A27" s="87"/>
      <c r="B27" s="74" t="s">
        <v>11</v>
      </c>
      <c r="C27" s="55" t="s">
        <v>54</v>
      </c>
      <c r="D27" s="28"/>
      <c r="E27" s="28">
        <f>ROUND((E28/P162),4)</f>
        <v>1.0699999999999999E-2</v>
      </c>
      <c r="F27" s="28">
        <f>ROUND((F28/P162),4)</f>
        <v>1.9800000000000002E-2</v>
      </c>
      <c r="G27" s="28"/>
      <c r="H27" s="28"/>
      <c r="I27" s="28"/>
      <c r="J27" s="28"/>
      <c r="K27" s="28"/>
      <c r="L27" s="28"/>
      <c r="M27" s="28"/>
      <c r="N27" s="28"/>
      <c r="O27" s="28"/>
      <c r="P27" s="33">
        <f>ROUND(SUM(D27:O27),4)</f>
        <v>3.0499999999999999E-2</v>
      </c>
      <c r="Q27" s="24"/>
    </row>
    <row r="28" spans="1:17" ht="15" customHeight="1" x14ac:dyDescent="0.2">
      <c r="A28" s="87"/>
      <c r="B28" s="75"/>
      <c r="C28" s="56"/>
      <c r="D28" s="29"/>
      <c r="E28" s="29">
        <f>ROUND((P28*0.35),2)</f>
        <v>29698.61</v>
      </c>
      <c r="F28" s="29">
        <f>ROUND((P28-E28),2)</f>
        <v>55154.57</v>
      </c>
      <c r="G28" s="29"/>
      <c r="H28" s="29"/>
      <c r="I28" s="29"/>
      <c r="J28" s="29"/>
      <c r="K28" s="29"/>
      <c r="L28" s="29"/>
      <c r="M28" s="29"/>
      <c r="N28" s="29"/>
      <c r="O28" s="29"/>
      <c r="P28" s="34">
        <f>ROUND((67008.75+(67008.75*0.2663)),2)</f>
        <v>84853.18</v>
      </c>
      <c r="Q28" s="24"/>
    </row>
    <row r="29" spans="1:17" ht="15" customHeight="1" x14ac:dyDescent="0.2">
      <c r="A29" s="87"/>
      <c r="B29" s="74" t="s">
        <v>12</v>
      </c>
      <c r="C29" s="55" t="s">
        <v>55</v>
      </c>
      <c r="D29" s="28"/>
      <c r="E29" s="28"/>
      <c r="F29" s="28">
        <f>ROUND((F30/P162),4)</f>
        <v>2.3300000000000001E-2</v>
      </c>
      <c r="G29" s="28">
        <f>ROUND((G30/P162),4)</f>
        <v>1.7399999999999999E-2</v>
      </c>
      <c r="H29" s="28">
        <f>ROUND((H30/P162),4)</f>
        <v>1.7399999999999999E-2</v>
      </c>
      <c r="I29" s="28">
        <f>ROUND((I30/P162),4)</f>
        <v>1.7399999999999999E-2</v>
      </c>
      <c r="J29" s="28">
        <f>ROUND((J30/P162),4)</f>
        <v>1.7399999999999999E-2</v>
      </c>
      <c r="K29" s="28">
        <f>ROUND((K30/P162),4)</f>
        <v>1.1599999999999999E-2</v>
      </c>
      <c r="L29" s="28">
        <f>ROUND((L30/P162),4)</f>
        <v>1.1599999999999999E-2</v>
      </c>
      <c r="M29" s="28"/>
      <c r="N29" s="28"/>
      <c r="O29" s="28"/>
      <c r="P29" s="33">
        <f>ROUND(SUM(D29:O29),4)</f>
        <v>0.11609999999999999</v>
      </c>
      <c r="Q29" s="24"/>
    </row>
    <row r="30" spans="1:17" ht="15" customHeight="1" x14ac:dyDescent="0.2">
      <c r="A30" s="87"/>
      <c r="B30" s="75"/>
      <c r="C30" s="56"/>
      <c r="D30" s="29"/>
      <c r="E30" s="29"/>
      <c r="F30" s="29">
        <f>ROUND((P30*0.2),2)</f>
        <v>64636.05</v>
      </c>
      <c r="G30" s="29">
        <f>ROUND((P30*0.15),2)</f>
        <v>48477.04</v>
      </c>
      <c r="H30" s="29">
        <f>ROUND((P30*0.15),2)</f>
        <v>48477.04</v>
      </c>
      <c r="I30" s="29">
        <f>ROUND((P30*0.15),2)</f>
        <v>48477.04</v>
      </c>
      <c r="J30" s="29">
        <f>ROUND((P30*0.15),2)</f>
        <v>48477.04</v>
      </c>
      <c r="K30" s="29">
        <f>ROUND((P30*0.1),2)</f>
        <v>32318.03</v>
      </c>
      <c r="L30" s="29">
        <f>ROUND((P30-K30-J30-I30-H30-G30-F30),2)</f>
        <v>32318.02</v>
      </c>
      <c r="M30" s="29"/>
      <c r="N30" s="29"/>
      <c r="O30" s="29"/>
      <c r="P30" s="34">
        <f>ROUND((255216.19+(255216.19*0.2663)),2)</f>
        <v>323180.26</v>
      </c>
      <c r="Q30" s="24"/>
    </row>
    <row r="31" spans="1:17" ht="15" customHeight="1" x14ac:dyDescent="0.2">
      <c r="A31" s="87"/>
      <c r="B31" s="74" t="s">
        <v>13</v>
      </c>
      <c r="C31" s="55" t="s">
        <v>56</v>
      </c>
      <c r="D31" s="28"/>
      <c r="E31" s="28"/>
      <c r="F31" s="28"/>
      <c r="G31" s="28"/>
      <c r="H31" s="28">
        <f>ROUND((H32/P162),4)</f>
        <v>1.7000000000000001E-2</v>
      </c>
      <c r="I31" s="28">
        <f>ROUND((I32/P162),4)</f>
        <v>1.2699999999999999E-2</v>
      </c>
      <c r="J31" s="28">
        <f>ROUND((J32/P162),4)</f>
        <v>1.2699999999999999E-2</v>
      </c>
      <c r="K31" s="28"/>
      <c r="L31" s="28"/>
      <c r="M31" s="28"/>
      <c r="N31" s="28"/>
      <c r="O31" s="28"/>
      <c r="P31" s="33">
        <f>ROUND(SUM(D31:O31),4)</f>
        <v>4.24E-2</v>
      </c>
      <c r="Q31" s="24"/>
    </row>
    <row r="32" spans="1:17" ht="15" customHeight="1" x14ac:dyDescent="0.2">
      <c r="A32" s="87"/>
      <c r="B32" s="75"/>
      <c r="C32" s="56"/>
      <c r="D32" s="29"/>
      <c r="E32" s="29"/>
      <c r="F32" s="29"/>
      <c r="G32" s="29"/>
      <c r="H32" s="29">
        <f>ROUND((P32*0.4),2)</f>
        <v>47186.34</v>
      </c>
      <c r="I32" s="29">
        <f>ROUND((P32*0.3),2)</f>
        <v>35389.760000000002</v>
      </c>
      <c r="J32" s="29">
        <f>ROUND((P32-I32-H32),2)</f>
        <v>35389.760000000002</v>
      </c>
      <c r="K32" s="29"/>
      <c r="L32" s="29"/>
      <c r="M32" s="29"/>
      <c r="N32" s="29"/>
      <c r="O32" s="29"/>
      <c r="P32" s="34">
        <f>ROUND((93157.91+(93157.91*0.2663)),2)</f>
        <v>117965.86</v>
      </c>
      <c r="Q32" s="24"/>
    </row>
    <row r="33" spans="1:17" ht="15" customHeight="1" x14ac:dyDescent="0.2">
      <c r="A33" s="87"/>
      <c r="B33" s="74" t="s">
        <v>14</v>
      </c>
      <c r="C33" s="55" t="s">
        <v>58</v>
      </c>
      <c r="D33" s="28"/>
      <c r="E33" s="28"/>
      <c r="F33" s="28"/>
      <c r="G33" s="28"/>
      <c r="H33" s="28">
        <f>ROUND((H34/P162),4)</f>
        <v>2.2100000000000002E-2</v>
      </c>
      <c r="I33" s="28">
        <f>ROUND((I34/P162),4)</f>
        <v>1.3299999999999999E-2</v>
      </c>
      <c r="J33" s="28">
        <f>ROUND((J34/P162),4)</f>
        <v>1.3299999999999999E-2</v>
      </c>
      <c r="K33" s="28">
        <f>ROUND((K34/P162),4)</f>
        <v>1.3299999999999999E-2</v>
      </c>
      <c r="L33" s="28">
        <f>ROUND((L34/P162),4)</f>
        <v>1.3299999999999999E-2</v>
      </c>
      <c r="M33" s="28">
        <f>ROUND((M34/P162),4)</f>
        <v>8.8999999999999999E-3</v>
      </c>
      <c r="N33" s="28">
        <f>ROUND((N34/P162),4)</f>
        <v>4.4000000000000003E-3</v>
      </c>
      <c r="O33" s="28"/>
      <c r="P33" s="33">
        <f>ROUND(SUM(D33:O33),4)</f>
        <v>8.8599999999999998E-2</v>
      </c>
      <c r="Q33" s="24"/>
    </row>
    <row r="34" spans="1:17" ht="15" customHeight="1" x14ac:dyDescent="0.2">
      <c r="A34" s="87"/>
      <c r="B34" s="75"/>
      <c r="C34" s="56"/>
      <c r="D34" s="29"/>
      <c r="E34" s="29"/>
      <c r="F34" s="29"/>
      <c r="G34" s="29"/>
      <c r="H34" s="29">
        <f>ROUND((P34*0.25),2)</f>
        <v>61552.800000000003</v>
      </c>
      <c r="I34" s="29">
        <f>ROUND((P34*0.15),2)</f>
        <v>36931.68</v>
      </c>
      <c r="J34" s="29">
        <f>ROUND((P34*0.15),2)</f>
        <v>36931.68</v>
      </c>
      <c r="K34" s="29">
        <f>ROUND((P34*0.15),2)</f>
        <v>36931.68</v>
      </c>
      <c r="L34" s="29">
        <f>ROUND((P34*0.15),2)</f>
        <v>36931.68</v>
      </c>
      <c r="M34" s="29">
        <f>ROUND((P34*0.1),2)</f>
        <v>24621.119999999999</v>
      </c>
      <c r="N34" s="29">
        <f>ROUND((P34-M34-L34-K34-J34-I34-H34),2)</f>
        <v>12310.55</v>
      </c>
      <c r="O34" s="29"/>
      <c r="P34" s="34">
        <f>ROUND((194433.54+(194433.54*0.2663)),2)</f>
        <v>246211.19</v>
      </c>
      <c r="Q34" s="24"/>
    </row>
    <row r="35" spans="1:17" ht="15" customHeight="1" x14ac:dyDescent="0.2">
      <c r="A35" s="87"/>
      <c r="B35" s="74" t="s">
        <v>15</v>
      </c>
      <c r="C35" s="55" t="s">
        <v>57</v>
      </c>
      <c r="D35" s="28"/>
      <c r="E35" s="28"/>
      <c r="F35" s="28"/>
      <c r="G35" s="28">
        <f>ROUND((G36/P162),4)</f>
        <v>1.3100000000000001E-2</v>
      </c>
      <c r="H35" s="28">
        <f>ROUND((H36/P162),4)</f>
        <v>1.04E-2</v>
      </c>
      <c r="I35" s="28">
        <f>ROUND((I36/P162),4)</f>
        <v>1.04E-2</v>
      </c>
      <c r="J35" s="28">
        <f>ROUND((J36/P162),4)</f>
        <v>7.7999999999999996E-3</v>
      </c>
      <c r="K35" s="28">
        <f>ROUND((K36/P162),4)</f>
        <v>7.7999999999999996E-3</v>
      </c>
      <c r="L35" s="28">
        <f>ROUND((L36/P162),4)</f>
        <v>2.5999999999999999E-3</v>
      </c>
      <c r="M35" s="28"/>
      <c r="N35" s="28"/>
      <c r="O35" s="28"/>
      <c r="P35" s="33">
        <f>ROUND(SUM(D35:O35),4)</f>
        <v>5.21E-2</v>
      </c>
      <c r="Q35" s="24"/>
    </row>
    <row r="36" spans="1:17" ht="15" customHeight="1" x14ac:dyDescent="0.2">
      <c r="A36" s="87"/>
      <c r="B36" s="75"/>
      <c r="C36" s="56"/>
      <c r="D36" s="29"/>
      <c r="E36" s="29"/>
      <c r="F36" s="29"/>
      <c r="G36" s="29">
        <f>ROUND((P36*0.25),2)</f>
        <v>36289.97</v>
      </c>
      <c r="H36" s="29">
        <f>ROUND((P36*0.2),2)</f>
        <v>29031.97</v>
      </c>
      <c r="I36" s="29">
        <f>ROUND((P36*0.2),2)</f>
        <v>29031.97</v>
      </c>
      <c r="J36" s="29">
        <f>ROUND((P36*0.15),2)</f>
        <v>21773.98</v>
      </c>
      <c r="K36" s="29">
        <f>ROUND((P36*0.15),2)</f>
        <v>21773.98</v>
      </c>
      <c r="L36" s="29">
        <f>ROUND((P36-K36-J36-I36-H36-G36),2)</f>
        <v>7258</v>
      </c>
      <c r="M36" s="29"/>
      <c r="N36" s="29"/>
      <c r="O36" s="29"/>
      <c r="P36" s="34">
        <f>ROUND((114633.08+(114633.08*0.2663)),2)</f>
        <v>145159.87</v>
      </c>
      <c r="Q36" s="24"/>
    </row>
    <row r="37" spans="1:17" ht="15" customHeight="1" x14ac:dyDescent="0.2">
      <c r="A37" s="87"/>
      <c r="B37" s="74" t="s">
        <v>16</v>
      </c>
      <c r="C37" s="55" t="s">
        <v>59</v>
      </c>
      <c r="D37" s="28"/>
      <c r="E37" s="28"/>
      <c r="F37" s="28"/>
      <c r="G37" s="28"/>
      <c r="H37" s="28"/>
      <c r="I37" s="28"/>
      <c r="J37" s="28"/>
      <c r="K37" s="28"/>
      <c r="L37" s="28">
        <f>ROUND((L38/P162),4)</f>
        <v>6.9999999999999999E-4</v>
      </c>
      <c r="M37" s="28"/>
      <c r="N37" s="28"/>
      <c r="O37" s="28"/>
      <c r="P37" s="33">
        <f>ROUND(SUM(D37:O37),4)</f>
        <v>6.9999999999999999E-4</v>
      </c>
      <c r="Q37" s="24"/>
    </row>
    <row r="38" spans="1:17" ht="15" customHeight="1" x14ac:dyDescent="0.2">
      <c r="A38" s="87"/>
      <c r="B38" s="75"/>
      <c r="C38" s="56"/>
      <c r="D38" s="29"/>
      <c r="E38" s="29"/>
      <c r="F38" s="29"/>
      <c r="G38" s="29"/>
      <c r="H38" s="29"/>
      <c r="I38" s="29"/>
      <c r="J38" s="29"/>
      <c r="K38" s="29"/>
      <c r="L38" s="29">
        <f>ROUND(P38,2)</f>
        <v>1864.73</v>
      </c>
      <c r="M38" s="29"/>
      <c r="N38" s="29"/>
      <c r="O38" s="29"/>
      <c r="P38" s="34">
        <f>ROUND((1472.58+(1472.58*0.2663)),2)</f>
        <v>1864.73</v>
      </c>
      <c r="Q38" s="24"/>
    </row>
    <row r="39" spans="1:17" ht="15" customHeight="1" x14ac:dyDescent="0.2">
      <c r="A39" s="87"/>
      <c r="B39" s="74" t="s">
        <v>17</v>
      </c>
      <c r="C39" s="55" t="s">
        <v>60</v>
      </c>
      <c r="D39" s="28">
        <f>ROUND((D40/P162),4)</f>
        <v>2.3900000000000001E-2</v>
      </c>
      <c r="E39" s="28"/>
      <c r="F39" s="28">
        <f>ROUND((F40/P162),4)</f>
        <v>8.0000000000000002E-3</v>
      </c>
      <c r="G39" s="28"/>
      <c r="H39" s="28">
        <f>ROUND((H40/P162),4)</f>
        <v>1.2E-2</v>
      </c>
      <c r="I39" s="28">
        <f>ROUND((I40/P162),4)</f>
        <v>1.2E-2</v>
      </c>
      <c r="J39" s="28">
        <f>ROUND((J40/P162),4)</f>
        <v>1.2E-2</v>
      </c>
      <c r="K39" s="28">
        <f>ROUND((K40/P162),4)</f>
        <v>8.0000000000000002E-3</v>
      </c>
      <c r="L39" s="28">
        <f>ROUND((L40/P162),4)</f>
        <v>4.0000000000000001E-3</v>
      </c>
      <c r="M39" s="28"/>
      <c r="N39" s="28"/>
      <c r="O39" s="28"/>
      <c r="P39" s="33">
        <f>ROUND(SUM(D39:O39),4)</f>
        <v>7.9899999999999999E-2</v>
      </c>
      <c r="Q39" s="24"/>
    </row>
    <row r="40" spans="1:17" ht="15" customHeight="1" x14ac:dyDescent="0.2">
      <c r="A40" s="87"/>
      <c r="B40" s="75"/>
      <c r="C40" s="56"/>
      <c r="D40" s="29">
        <f>ROUND((P40*0.3),2)</f>
        <v>66533.38</v>
      </c>
      <c r="E40" s="29"/>
      <c r="F40" s="29">
        <f>ROUND((P40*0.1),2)</f>
        <v>22177.79</v>
      </c>
      <c r="G40" s="29"/>
      <c r="H40" s="29">
        <f>ROUND((P40*0.15),2)</f>
        <v>33266.69</v>
      </c>
      <c r="I40" s="29">
        <f>ROUND((P40*0.15),2)</f>
        <v>33266.69</v>
      </c>
      <c r="J40" s="29">
        <f>ROUND((P40*0.15),2)</f>
        <v>33266.69</v>
      </c>
      <c r="K40" s="29">
        <f>ROUND((P40*0.1),2)</f>
        <v>22177.79</v>
      </c>
      <c r="L40" s="29">
        <f>ROUND((P40-K40-J40-I40-H40-F40-D40),2)</f>
        <v>11088.9</v>
      </c>
      <c r="M40" s="29"/>
      <c r="N40" s="29"/>
      <c r="O40" s="29"/>
      <c r="P40" s="34">
        <f>ROUND((175138.54+(175138.54*0.2663)),2)</f>
        <v>221777.93</v>
      </c>
      <c r="Q40" s="24"/>
    </row>
    <row r="41" spans="1:17" ht="15" customHeight="1" x14ac:dyDescent="0.2">
      <c r="A41" s="87"/>
      <c r="B41" s="74" t="s">
        <v>18</v>
      </c>
      <c r="C41" s="55" t="s">
        <v>61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>
        <f>ROUND((O42/P162),4)</f>
        <v>7.3000000000000001E-3</v>
      </c>
      <c r="P41" s="33">
        <f>ROUND(SUM(D41:O41),4)</f>
        <v>7.3000000000000001E-3</v>
      </c>
      <c r="Q41" s="24"/>
    </row>
    <row r="42" spans="1:17" ht="15" customHeight="1" x14ac:dyDescent="0.2">
      <c r="A42" s="87"/>
      <c r="B42" s="75"/>
      <c r="C42" s="56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>
        <f>ROUND((P42),2)</f>
        <v>20207.27</v>
      </c>
      <c r="P42" s="34">
        <f>ROUND((15957.73+(15957.73*0.2663)),2)</f>
        <v>20207.27</v>
      </c>
      <c r="Q42" s="24"/>
    </row>
    <row r="43" spans="1:17" ht="15" customHeight="1" x14ac:dyDescent="0.2">
      <c r="A43" s="87"/>
      <c r="B43" s="74" t="s">
        <v>19</v>
      </c>
      <c r="C43" s="55" t="s">
        <v>62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>
        <f>ROUND((N44/P162),4)</f>
        <v>7.4999999999999997E-3</v>
      </c>
      <c r="O43" s="28">
        <f>ROUND((O44/P162),4)</f>
        <v>5.0000000000000001E-3</v>
      </c>
      <c r="P43" s="33">
        <f>ROUND(SUM(D43:O43),4)</f>
        <v>1.2500000000000001E-2</v>
      </c>
      <c r="Q43" s="24"/>
    </row>
    <row r="44" spans="1:17" ht="15" customHeight="1" x14ac:dyDescent="0.2">
      <c r="A44" s="88"/>
      <c r="B44" s="75"/>
      <c r="C44" s="56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>
        <f>ROUND((P44*0.6),2)</f>
        <v>20766.25</v>
      </c>
      <c r="O44" s="29">
        <f>ROUND((P44-N44),2)</f>
        <v>13844.17</v>
      </c>
      <c r="P44" s="34">
        <f>ROUND((27331.93+(27331.93*0.2663)),2)</f>
        <v>34610.42</v>
      </c>
      <c r="Q44" s="24"/>
    </row>
    <row r="45" spans="1:17" ht="15" customHeight="1" x14ac:dyDescent="0.2">
      <c r="A45" s="90" t="s">
        <v>46</v>
      </c>
      <c r="B45" s="76" t="s">
        <v>44</v>
      </c>
      <c r="C45" s="55" t="s">
        <v>51</v>
      </c>
      <c r="D45" s="28">
        <f>ROUND((D46/P162),4)</f>
        <v>5.0000000000000001E-4</v>
      </c>
      <c r="E45" s="28">
        <f>ROUND((E46/P162),4)</f>
        <v>4.0000000000000002E-4</v>
      </c>
      <c r="F45" s="28">
        <f>ROUND((F46/P162),4)</f>
        <v>2.0000000000000001E-4</v>
      </c>
      <c r="G45" s="28">
        <f>ROUND((G46/P162),4)</f>
        <v>2.0000000000000001E-4</v>
      </c>
      <c r="H45" s="28">
        <f>ROUND((H46/P162),4)</f>
        <v>2.0000000000000001E-4</v>
      </c>
      <c r="I45" s="28"/>
      <c r="J45" s="28"/>
      <c r="K45" s="28"/>
      <c r="L45" s="28"/>
      <c r="M45" s="28"/>
      <c r="N45" s="28"/>
      <c r="O45" s="28"/>
      <c r="P45" s="33">
        <f>ROUND(SUM(D45:O45),4)</f>
        <v>1.5E-3</v>
      </c>
      <c r="Q45" s="24"/>
    </row>
    <row r="46" spans="1:17" ht="15" customHeight="1" x14ac:dyDescent="0.2">
      <c r="A46" s="91"/>
      <c r="B46" s="77"/>
      <c r="C46" s="56"/>
      <c r="D46" s="29">
        <f>ROUND((P46*0.35),2)</f>
        <v>1474.6</v>
      </c>
      <c r="E46" s="29">
        <f>ROUND((P46*0.25),2)</f>
        <v>1053.29</v>
      </c>
      <c r="F46" s="29">
        <f>ROUND((P46*0.15),2)</f>
        <v>631.97</v>
      </c>
      <c r="G46" s="29">
        <f>ROUND((P46*0.15),2)</f>
        <v>631.97</v>
      </c>
      <c r="H46" s="29">
        <f>ROUND((P46-D46-E46-F46-G46),2)</f>
        <v>421.31</v>
      </c>
      <c r="I46" s="29"/>
      <c r="J46" s="29"/>
      <c r="K46" s="29"/>
      <c r="L46" s="29"/>
      <c r="M46" s="29"/>
      <c r="N46" s="29"/>
      <c r="O46" s="29"/>
      <c r="P46" s="34">
        <f>ROUND((3327.13+(3327.13*0.2663)),2)</f>
        <v>4213.1400000000003</v>
      </c>
      <c r="Q46" s="24"/>
    </row>
    <row r="47" spans="1:17" ht="15" customHeight="1" x14ac:dyDescent="0.2">
      <c r="A47" s="91"/>
      <c r="B47" s="76" t="s">
        <v>11</v>
      </c>
      <c r="C47" s="55" t="s">
        <v>52</v>
      </c>
      <c r="D47" s="28"/>
      <c r="E47" s="28">
        <f>ROUND((E48/P162),4)</f>
        <v>3.3E-3</v>
      </c>
      <c r="F47" s="28">
        <f>ROUND((F48/P162),4)</f>
        <v>5.0000000000000001E-3</v>
      </c>
      <c r="G47" s="28"/>
      <c r="H47" s="28"/>
      <c r="I47" s="28"/>
      <c r="J47" s="28"/>
      <c r="K47" s="28"/>
      <c r="L47" s="28"/>
      <c r="M47" s="28"/>
      <c r="N47" s="28"/>
      <c r="O47" s="28"/>
      <c r="P47" s="33">
        <f>ROUND(SUM(D47:O47),4)</f>
        <v>8.3000000000000001E-3</v>
      </c>
      <c r="Q47" s="24"/>
    </row>
    <row r="48" spans="1:17" ht="15" customHeight="1" x14ac:dyDescent="0.2">
      <c r="A48" s="91"/>
      <c r="B48" s="77"/>
      <c r="C48" s="56"/>
      <c r="D48" s="29"/>
      <c r="E48" s="29">
        <f>ROUND((P48*0.4),2)</f>
        <v>9215.11</v>
      </c>
      <c r="F48" s="29">
        <f>ROUND((P48-E48),2)</f>
        <v>13822.66</v>
      </c>
      <c r="G48" s="29"/>
      <c r="H48" s="29"/>
      <c r="I48" s="29"/>
      <c r="J48" s="29"/>
      <c r="K48" s="29"/>
      <c r="L48" s="29"/>
      <c r="M48" s="29"/>
      <c r="N48" s="29"/>
      <c r="O48" s="29"/>
      <c r="P48" s="34">
        <f>ROUND((18192.98+(18192.98*0.2663)),2)</f>
        <v>23037.77</v>
      </c>
      <c r="Q48" s="24"/>
    </row>
    <row r="49" spans="1:17" ht="15" customHeight="1" x14ac:dyDescent="0.2">
      <c r="A49" s="91"/>
      <c r="B49" s="76" t="s">
        <v>12</v>
      </c>
      <c r="C49" s="55" t="s">
        <v>63</v>
      </c>
      <c r="D49" s="28"/>
      <c r="E49" s="28"/>
      <c r="F49" s="28">
        <f>ROUND((F50/P162),4)</f>
        <v>1.6000000000000001E-3</v>
      </c>
      <c r="G49" s="28">
        <f>ROUND((G50/P162),4)</f>
        <v>3.5999999999999999E-3</v>
      </c>
      <c r="H49" s="28">
        <f>ROUND((H50/P162),4)</f>
        <v>2.8E-3</v>
      </c>
      <c r="I49" s="28"/>
      <c r="J49" s="28"/>
      <c r="K49" s="28"/>
      <c r="L49" s="28"/>
      <c r="M49" s="28"/>
      <c r="N49" s="28"/>
      <c r="O49" s="28"/>
      <c r="P49" s="33">
        <f>ROUND(SUM(D49:O49),4)</f>
        <v>8.0000000000000002E-3</v>
      </c>
      <c r="Q49" s="24"/>
    </row>
    <row r="50" spans="1:17" ht="15" customHeight="1" x14ac:dyDescent="0.2">
      <c r="A50" s="91"/>
      <c r="B50" s="77"/>
      <c r="C50" s="56"/>
      <c r="D50" s="29"/>
      <c r="E50" s="29"/>
      <c r="F50" s="29">
        <f>ROUND((P50*0.2),2)</f>
        <v>4399.79</v>
      </c>
      <c r="G50" s="29">
        <f>ROUND((P50*0.45),2)</f>
        <v>9899.5300000000007</v>
      </c>
      <c r="H50" s="29">
        <f>ROUND((P50-G50-F50),2)</f>
        <v>7699.63</v>
      </c>
      <c r="I50" s="29"/>
      <c r="J50" s="29"/>
      <c r="K50" s="29"/>
      <c r="L50" s="29"/>
      <c r="M50" s="29"/>
      <c r="N50" s="29"/>
      <c r="O50" s="29"/>
      <c r="P50" s="34">
        <f>ROUND((17372.62+(17372.62*0.2663)),2)</f>
        <v>21998.95</v>
      </c>
      <c r="Q50" s="24"/>
    </row>
    <row r="51" spans="1:17" ht="15" customHeight="1" x14ac:dyDescent="0.2">
      <c r="A51" s="91"/>
      <c r="B51" s="76" t="s">
        <v>13</v>
      </c>
      <c r="C51" s="55" t="s">
        <v>64</v>
      </c>
      <c r="D51" s="28"/>
      <c r="E51" s="28"/>
      <c r="F51" s="28">
        <f>ROUND((F52/P162),4)</f>
        <v>2.3E-3</v>
      </c>
      <c r="G51" s="28">
        <f>ROUND((G52/P162),4)</f>
        <v>1.8E-3</v>
      </c>
      <c r="H51" s="28">
        <f>ROUND((H52/P162),4)</f>
        <v>1E-3</v>
      </c>
      <c r="I51" s="28"/>
      <c r="J51" s="28"/>
      <c r="K51" s="28"/>
      <c r="L51" s="28"/>
      <c r="M51" s="28"/>
      <c r="N51" s="28"/>
      <c r="O51" s="28"/>
      <c r="P51" s="33">
        <f>ROUND(SUM(D51:O51),4)</f>
        <v>5.1000000000000004E-3</v>
      </c>
      <c r="Q51" s="24"/>
    </row>
    <row r="52" spans="1:17" ht="15" customHeight="1" x14ac:dyDescent="0.2">
      <c r="A52" s="91"/>
      <c r="B52" s="77"/>
      <c r="C52" s="56"/>
      <c r="D52" s="29"/>
      <c r="E52" s="29"/>
      <c r="F52" s="29">
        <f>ROUND((P52*0.45),2)</f>
        <v>6517.64</v>
      </c>
      <c r="G52" s="29">
        <f>ROUND((P52*0.35),2)</f>
        <v>5069.28</v>
      </c>
      <c r="H52" s="29">
        <f>ROUND((P52-G52-F52),2)</f>
        <v>2896.73</v>
      </c>
      <c r="I52" s="29"/>
      <c r="J52" s="29"/>
      <c r="K52" s="29"/>
      <c r="L52" s="29"/>
      <c r="M52" s="29"/>
      <c r="N52" s="29"/>
      <c r="O52" s="29"/>
      <c r="P52" s="34">
        <f>ROUND((11437.77+(11437.77*0.2663)),2)</f>
        <v>14483.65</v>
      </c>
      <c r="Q52" s="24"/>
    </row>
    <row r="53" spans="1:17" ht="15" customHeight="1" x14ac:dyDescent="0.2">
      <c r="A53" s="91"/>
      <c r="B53" s="76" t="s">
        <v>14</v>
      </c>
      <c r="C53" s="55" t="s">
        <v>65</v>
      </c>
      <c r="D53" s="28"/>
      <c r="E53" s="28"/>
      <c r="F53" s="28"/>
      <c r="G53" s="28"/>
      <c r="H53" s="28">
        <f>ROUND((H54/P162),4)</f>
        <v>2.5999999999999999E-3</v>
      </c>
      <c r="I53" s="28">
        <f>ROUND((I54/P162),4)</f>
        <v>1.6999999999999999E-3</v>
      </c>
      <c r="J53" s="28"/>
      <c r="K53" s="28"/>
      <c r="L53" s="28"/>
      <c r="M53" s="28"/>
      <c r="N53" s="28"/>
      <c r="O53" s="28"/>
      <c r="P53" s="33">
        <f>ROUND(SUM(D53:O53),4)</f>
        <v>4.3E-3</v>
      </c>
      <c r="Q53" s="24"/>
    </row>
    <row r="54" spans="1:17" ht="15" customHeight="1" x14ac:dyDescent="0.2">
      <c r="A54" s="91"/>
      <c r="B54" s="77"/>
      <c r="C54" s="56"/>
      <c r="D54" s="29"/>
      <c r="E54" s="29"/>
      <c r="F54" s="29"/>
      <c r="G54" s="29"/>
      <c r="H54" s="29">
        <f>ROUND((P54*0.6),2)</f>
        <v>7192.81</v>
      </c>
      <c r="I54" s="29">
        <f>ROUND((P54-H54),2)</f>
        <v>4795.21</v>
      </c>
      <c r="J54" s="29"/>
      <c r="K54" s="29"/>
      <c r="L54" s="29"/>
      <c r="M54" s="29"/>
      <c r="N54" s="29"/>
      <c r="O54" s="29"/>
      <c r="P54" s="34">
        <f>ROUND((9466.97+(9466.97*0.2663)),2)</f>
        <v>11988.02</v>
      </c>
      <c r="Q54" s="24"/>
    </row>
    <row r="55" spans="1:17" ht="15" customHeight="1" x14ac:dyDescent="0.2">
      <c r="A55" s="91"/>
      <c r="B55" s="76" t="s">
        <v>15</v>
      </c>
      <c r="C55" s="55" t="s">
        <v>66</v>
      </c>
      <c r="D55" s="28"/>
      <c r="E55" s="28"/>
      <c r="F55" s="28"/>
      <c r="G55" s="28"/>
      <c r="H55" s="28"/>
      <c r="I55" s="28">
        <f>ROUND((I56/P162),4)</f>
        <v>1.2999999999999999E-3</v>
      </c>
      <c r="J55" s="28"/>
      <c r="K55" s="28"/>
      <c r="L55" s="28"/>
      <c r="M55" s="28"/>
      <c r="N55" s="28"/>
      <c r="O55" s="28"/>
      <c r="P55" s="33">
        <f>ROUND(SUM(D55:O55),4)</f>
        <v>1.2999999999999999E-3</v>
      </c>
      <c r="Q55" s="24"/>
    </row>
    <row r="56" spans="1:17" ht="15" customHeight="1" x14ac:dyDescent="0.2">
      <c r="A56" s="91"/>
      <c r="B56" s="77"/>
      <c r="C56" s="56"/>
      <c r="D56" s="29"/>
      <c r="E56" s="29"/>
      <c r="F56" s="29"/>
      <c r="G56" s="29"/>
      <c r="H56" s="29"/>
      <c r="I56" s="29">
        <f>ROUND((P56),2)</f>
        <v>3717.07</v>
      </c>
      <c r="J56" s="29"/>
      <c r="K56" s="29"/>
      <c r="L56" s="29"/>
      <c r="M56" s="29"/>
      <c r="N56" s="29"/>
      <c r="O56" s="29"/>
      <c r="P56" s="34">
        <f>ROUND((2935.38+(2935.38*0.2663)),2)</f>
        <v>3717.07</v>
      </c>
      <c r="Q56" s="24"/>
    </row>
    <row r="57" spans="1:17" ht="15" customHeight="1" x14ac:dyDescent="0.2">
      <c r="A57" s="91"/>
      <c r="B57" s="76" t="s">
        <v>16</v>
      </c>
      <c r="C57" s="55" t="s">
        <v>67</v>
      </c>
      <c r="D57" s="28"/>
      <c r="E57" s="28"/>
      <c r="F57" s="28"/>
      <c r="G57" s="28"/>
      <c r="H57" s="28"/>
      <c r="I57" s="28">
        <f>ROUND((I58/P162),4)</f>
        <v>5.9999999999999995E-4</v>
      </c>
      <c r="J57" s="28">
        <f>ROUND((J58/P162),4)</f>
        <v>1.4E-3</v>
      </c>
      <c r="K57" s="28">
        <f>ROUND((K58/P162),4)</f>
        <v>1.1000000000000001E-3</v>
      </c>
      <c r="L57" s="28"/>
      <c r="M57" s="28"/>
      <c r="N57" s="28"/>
      <c r="O57" s="28"/>
      <c r="P57" s="33">
        <f>ROUND(SUM(D57:O57),4)</f>
        <v>3.0999999999999999E-3</v>
      </c>
      <c r="Q57" s="24"/>
    </row>
    <row r="58" spans="1:17" ht="15" customHeight="1" x14ac:dyDescent="0.2">
      <c r="A58" s="91"/>
      <c r="B58" s="92"/>
      <c r="C58" s="56"/>
      <c r="D58" s="29"/>
      <c r="E58" s="29"/>
      <c r="F58" s="29"/>
      <c r="G58" s="29"/>
      <c r="H58" s="29"/>
      <c r="I58" s="29">
        <f>ROUND((P58*0.2),2)</f>
        <v>1675.37</v>
      </c>
      <c r="J58" s="29">
        <f>ROUND((P58*0.45),2)</f>
        <v>3769.58</v>
      </c>
      <c r="K58" s="29">
        <f>ROUND((P58-J58-I58),2)</f>
        <v>2931.89</v>
      </c>
      <c r="L58" s="29"/>
      <c r="M58" s="29"/>
      <c r="N58" s="29"/>
      <c r="O58" s="29"/>
      <c r="P58" s="34">
        <f>ROUND((6615.21+(6615.21*0.2663)),2)</f>
        <v>8376.84</v>
      </c>
      <c r="Q58" s="24"/>
    </row>
    <row r="59" spans="1:17" ht="15" customHeight="1" x14ac:dyDescent="0.2">
      <c r="A59" s="91"/>
      <c r="B59" s="39" t="s">
        <v>17</v>
      </c>
      <c r="C59" s="41" t="s">
        <v>68</v>
      </c>
      <c r="D59" s="28"/>
      <c r="E59" s="28"/>
      <c r="F59" s="28"/>
      <c r="G59" s="28"/>
      <c r="H59" s="28"/>
      <c r="I59" s="28"/>
      <c r="J59" s="28">
        <f>ROUND((J60/P162),4)</f>
        <v>1.8E-3</v>
      </c>
      <c r="K59" s="28">
        <f>ROUND((K60/P162),4)</f>
        <v>1E-3</v>
      </c>
      <c r="L59" s="28"/>
      <c r="M59" s="28"/>
      <c r="N59" s="28"/>
      <c r="O59" s="28"/>
      <c r="P59" s="33">
        <f>ROUND(SUM(D59:O59),4)</f>
        <v>2.8E-3</v>
      </c>
      <c r="Q59" s="24"/>
    </row>
    <row r="60" spans="1:17" ht="15" customHeight="1" x14ac:dyDescent="0.2">
      <c r="A60" s="91"/>
      <c r="B60" s="40"/>
      <c r="C60" s="42"/>
      <c r="D60" s="29"/>
      <c r="E60" s="29"/>
      <c r="F60" s="29"/>
      <c r="G60" s="29"/>
      <c r="H60" s="29"/>
      <c r="I60" s="29"/>
      <c r="J60" s="29">
        <f>ROUND((P60*0.65),2)</f>
        <v>5035.82</v>
      </c>
      <c r="K60" s="29">
        <f>ROUND((P60-J60),2)</f>
        <v>2711.59</v>
      </c>
      <c r="L60" s="29"/>
      <c r="M60" s="29"/>
      <c r="N60" s="29"/>
      <c r="O60" s="29"/>
      <c r="P60" s="34">
        <f>ROUND((6118.15+(6118.15*0.2663)),2)</f>
        <v>7747.41</v>
      </c>
      <c r="Q60" s="24"/>
    </row>
    <row r="61" spans="1:17" ht="15" customHeight="1" x14ac:dyDescent="0.2">
      <c r="A61" s="91"/>
      <c r="B61" s="39" t="s">
        <v>18</v>
      </c>
      <c r="C61" s="41" t="s">
        <v>69</v>
      </c>
      <c r="D61" s="28"/>
      <c r="E61" s="28"/>
      <c r="F61" s="28"/>
      <c r="G61" s="28"/>
      <c r="H61" s="28"/>
      <c r="I61" s="28"/>
      <c r="J61" s="28"/>
      <c r="K61" s="28">
        <f>ROUND((K62/P162),4)</f>
        <v>1.2999999999999999E-3</v>
      </c>
      <c r="L61" s="28"/>
      <c r="M61" s="28"/>
      <c r="N61" s="28"/>
      <c r="O61" s="28"/>
      <c r="P61" s="33">
        <f>ROUND(SUM(D61:O61),4)</f>
        <v>1.2999999999999999E-3</v>
      </c>
      <c r="Q61" s="24"/>
    </row>
    <row r="62" spans="1:17" ht="15" customHeight="1" x14ac:dyDescent="0.2">
      <c r="A62" s="91"/>
      <c r="B62" s="40"/>
      <c r="C62" s="42"/>
      <c r="D62" s="29"/>
      <c r="E62" s="29"/>
      <c r="F62" s="29"/>
      <c r="G62" s="29"/>
      <c r="H62" s="29"/>
      <c r="I62" s="29"/>
      <c r="J62" s="29"/>
      <c r="K62" s="29">
        <f>ROUND((P62),2)</f>
        <v>3652.63</v>
      </c>
      <c r="L62" s="29"/>
      <c r="M62" s="29"/>
      <c r="N62" s="29"/>
      <c r="O62" s="29"/>
      <c r="P62" s="34">
        <f>ROUND((2884.49+(2884.49*0.2663)),2)</f>
        <v>3652.63</v>
      </c>
      <c r="Q62" s="24"/>
    </row>
    <row r="63" spans="1:17" ht="15" customHeight="1" x14ac:dyDescent="0.2">
      <c r="A63" s="91"/>
      <c r="B63" s="39" t="s">
        <v>19</v>
      </c>
      <c r="C63" s="41" t="s">
        <v>70</v>
      </c>
      <c r="D63" s="28"/>
      <c r="E63" s="28"/>
      <c r="F63" s="28"/>
      <c r="G63" s="28"/>
      <c r="H63" s="28"/>
      <c r="I63" s="28"/>
      <c r="J63" s="28"/>
      <c r="K63" s="28">
        <f>ROUND((K64/P162),4)</f>
        <v>3.5999999999999999E-3</v>
      </c>
      <c r="L63" s="28">
        <f>ROUND((L64/P162),4)</f>
        <v>8.3000000000000001E-3</v>
      </c>
      <c r="M63" s="28"/>
      <c r="N63" s="28"/>
      <c r="O63" s="28"/>
      <c r="P63" s="33">
        <f>ROUND(SUM(D63:O63),4)</f>
        <v>1.1900000000000001E-2</v>
      </c>
      <c r="Q63" s="24"/>
    </row>
    <row r="64" spans="1:17" ht="15" customHeight="1" x14ac:dyDescent="0.2">
      <c r="A64" s="91"/>
      <c r="B64" s="40"/>
      <c r="C64" s="42"/>
      <c r="D64" s="29"/>
      <c r="E64" s="29"/>
      <c r="F64" s="29"/>
      <c r="G64" s="29"/>
      <c r="H64" s="29"/>
      <c r="I64" s="29"/>
      <c r="J64" s="29"/>
      <c r="K64" s="29">
        <f>ROUND((P64*0.3),2)</f>
        <v>9895.39</v>
      </c>
      <c r="L64" s="29">
        <f>ROUND((P64-K64),2)</f>
        <v>23089.23</v>
      </c>
      <c r="M64" s="29"/>
      <c r="N64" s="29"/>
      <c r="O64" s="29"/>
      <c r="P64" s="34">
        <f>ROUND((26048.03+(26048.03*0.2663)),2)</f>
        <v>32984.620000000003</v>
      </c>
      <c r="Q64" s="24"/>
    </row>
    <row r="65" spans="1:17" ht="15" customHeight="1" x14ac:dyDescent="0.2">
      <c r="A65" s="91"/>
      <c r="B65" s="39" t="s">
        <v>20</v>
      </c>
      <c r="C65" s="41" t="s">
        <v>71</v>
      </c>
      <c r="D65" s="28"/>
      <c r="E65" s="28"/>
      <c r="F65" s="28"/>
      <c r="G65" s="28"/>
      <c r="H65" s="28"/>
      <c r="I65" s="28"/>
      <c r="J65" s="28"/>
      <c r="K65" s="28">
        <f>ROUND((K66/P162),4)</f>
        <v>1.8E-3</v>
      </c>
      <c r="L65" s="28">
        <f>ROUND((L66/P162),4)</f>
        <v>2.7000000000000001E-3</v>
      </c>
      <c r="M65" s="28"/>
      <c r="N65" s="28"/>
      <c r="O65" s="28"/>
      <c r="P65" s="33">
        <f>ROUND(SUM(D65:O65),4)</f>
        <v>4.4999999999999997E-3</v>
      </c>
      <c r="Q65" s="24"/>
    </row>
    <row r="66" spans="1:17" ht="15" customHeight="1" x14ac:dyDescent="0.2">
      <c r="A66" s="91"/>
      <c r="B66" s="40"/>
      <c r="C66" s="42"/>
      <c r="D66" s="29"/>
      <c r="E66" s="29"/>
      <c r="F66" s="29"/>
      <c r="G66" s="29"/>
      <c r="H66" s="29"/>
      <c r="I66" s="29"/>
      <c r="J66" s="29"/>
      <c r="K66" s="29">
        <f>ROUND((P66*0.4),2)</f>
        <v>5032.03</v>
      </c>
      <c r="L66" s="29">
        <f>ROUND((P66-K66),2)</f>
        <v>7548.04</v>
      </c>
      <c r="M66" s="29"/>
      <c r="N66" s="29"/>
      <c r="O66" s="29"/>
      <c r="P66" s="34">
        <f>ROUND((9934.51+(9934.51*0.2663)),2)</f>
        <v>12580.07</v>
      </c>
      <c r="Q66" s="24"/>
    </row>
    <row r="67" spans="1:17" ht="15" customHeight="1" x14ac:dyDescent="0.2">
      <c r="A67" s="91"/>
      <c r="B67" s="39" t="s">
        <v>21</v>
      </c>
      <c r="C67" s="41" t="s">
        <v>72</v>
      </c>
      <c r="D67" s="28"/>
      <c r="E67" s="28"/>
      <c r="F67" s="28"/>
      <c r="G67" s="28"/>
      <c r="H67" s="28"/>
      <c r="I67" s="28"/>
      <c r="J67" s="28"/>
      <c r="K67" s="28">
        <f>ROUND((K68/P162),4)</f>
        <v>1.9E-3</v>
      </c>
      <c r="L67" s="28">
        <f>ROUND((L68/P162),4)</f>
        <v>2.3E-3</v>
      </c>
      <c r="M67" s="28"/>
      <c r="N67" s="28"/>
      <c r="O67" s="28"/>
      <c r="P67" s="33">
        <f>ROUND(SUM(D67:O67),4)</f>
        <v>4.1999999999999997E-3</v>
      </c>
      <c r="Q67" s="24"/>
    </row>
    <row r="68" spans="1:17" ht="15" customHeight="1" x14ac:dyDescent="0.2">
      <c r="A68" s="91"/>
      <c r="B68" s="40"/>
      <c r="C68" s="42"/>
      <c r="D68" s="29"/>
      <c r="E68" s="29"/>
      <c r="F68" s="29"/>
      <c r="G68" s="29"/>
      <c r="H68" s="29"/>
      <c r="I68" s="29"/>
      <c r="J68" s="29"/>
      <c r="K68" s="29">
        <f>ROUND((P68*0.45),2)</f>
        <v>5284.03</v>
      </c>
      <c r="L68" s="29">
        <f>ROUND((P68-K68),2)</f>
        <v>6458.26</v>
      </c>
      <c r="M68" s="29"/>
      <c r="N68" s="29"/>
      <c r="O68" s="29"/>
      <c r="P68" s="34">
        <f>ROUND((9272.91+(9272.91*0.2663)),2)</f>
        <v>11742.29</v>
      </c>
      <c r="Q68" s="24"/>
    </row>
    <row r="69" spans="1:17" ht="15" customHeight="1" x14ac:dyDescent="0.2">
      <c r="A69" s="91"/>
      <c r="B69" s="39" t="s">
        <v>22</v>
      </c>
      <c r="C69" s="41" t="s">
        <v>78</v>
      </c>
      <c r="D69" s="28"/>
      <c r="E69" s="28"/>
      <c r="F69" s="28"/>
      <c r="G69" s="28">
        <f>ROUND((G70/P162),4)</f>
        <v>4.0000000000000002E-4</v>
      </c>
      <c r="H69" s="28">
        <f>ROUND((H70/P162),4)</f>
        <v>8.9999999999999998E-4</v>
      </c>
      <c r="I69" s="28">
        <f>ROUND((I70/P162),4)</f>
        <v>1.5E-3</v>
      </c>
      <c r="J69" s="28">
        <f>ROUND((J70/P162),4)</f>
        <v>6.9999999999999999E-4</v>
      </c>
      <c r="K69" s="28">
        <f>ROUND((K70/P162),4)</f>
        <v>4.0000000000000002E-4</v>
      </c>
      <c r="L69" s="28">
        <f>ROUND((L70/P162),4)</f>
        <v>4.0000000000000002E-4</v>
      </c>
      <c r="M69" s="28"/>
      <c r="N69" s="28"/>
      <c r="O69" s="28"/>
      <c r="P69" s="33">
        <f>ROUND(SUM(D69:O69),4)</f>
        <v>4.3E-3</v>
      </c>
      <c r="Q69" s="24"/>
    </row>
    <row r="70" spans="1:17" ht="15" customHeight="1" x14ac:dyDescent="0.2">
      <c r="A70" s="91"/>
      <c r="B70" s="40"/>
      <c r="C70" s="42"/>
      <c r="D70" s="29"/>
      <c r="E70" s="29"/>
      <c r="F70" s="29"/>
      <c r="G70" s="29">
        <f>ROUND((P70*0.1),2)</f>
        <v>1205.47</v>
      </c>
      <c r="H70" s="29">
        <f>ROUND((P70*0.2),2)</f>
        <v>2410.9299999999998</v>
      </c>
      <c r="I70" s="29">
        <f>ROUND((P70*0.35),2)</f>
        <v>4219.13</v>
      </c>
      <c r="J70" s="29">
        <f>ROUND((P70*0.15),2)</f>
        <v>1808.2</v>
      </c>
      <c r="K70" s="29">
        <f>ROUND((P70*0.1),2)</f>
        <v>1205.47</v>
      </c>
      <c r="L70" s="29">
        <f>ROUND((P70-G70-H70-I70-J70-K70),2)</f>
        <v>1205.47</v>
      </c>
      <c r="M70" s="29"/>
      <c r="N70" s="29"/>
      <c r="O70" s="29"/>
      <c r="P70" s="34">
        <f>ROUND((9519.6+(9519.6*0.2663)),2)</f>
        <v>12054.67</v>
      </c>
      <c r="Q70" s="24"/>
    </row>
    <row r="71" spans="1:17" ht="15" customHeight="1" x14ac:dyDescent="0.2">
      <c r="A71" s="91"/>
      <c r="B71" s="39" t="s">
        <v>23</v>
      </c>
      <c r="C71" s="41" t="s">
        <v>79</v>
      </c>
      <c r="D71" s="28"/>
      <c r="E71" s="28"/>
      <c r="F71" s="28"/>
      <c r="G71" s="28">
        <f>ROUND((G72/P162),4)</f>
        <v>6.9999999999999999E-4</v>
      </c>
      <c r="H71" s="28">
        <f>ROUND((H72/P162),4)</f>
        <v>8.0000000000000004E-4</v>
      </c>
      <c r="I71" s="28">
        <f>ROUND((I72/P162),4)</f>
        <v>8.0000000000000004E-4</v>
      </c>
      <c r="J71" s="28">
        <f>ROUND((J72/P162),4)</f>
        <v>4.0000000000000002E-4</v>
      </c>
      <c r="K71" s="28"/>
      <c r="L71" s="28"/>
      <c r="M71" s="28"/>
      <c r="N71" s="28"/>
      <c r="O71" s="28"/>
      <c r="P71" s="33">
        <f>ROUND(SUM(D71:O71),4)</f>
        <v>2.7000000000000001E-3</v>
      </c>
      <c r="Q71" s="24"/>
    </row>
    <row r="72" spans="1:17" ht="15" customHeight="1" x14ac:dyDescent="0.2">
      <c r="A72" s="91"/>
      <c r="B72" s="40"/>
      <c r="C72" s="42"/>
      <c r="D72" s="29"/>
      <c r="E72" s="29"/>
      <c r="F72" s="29"/>
      <c r="G72" s="29">
        <f>ROUND((P72*0.25),2)</f>
        <v>1939.78</v>
      </c>
      <c r="H72" s="29">
        <f>ROUND((P72*0.3),2)</f>
        <v>2327.7399999999998</v>
      </c>
      <c r="I72" s="29">
        <f>ROUND((P72*0.3),2)</f>
        <v>2327.7399999999998</v>
      </c>
      <c r="J72" s="29">
        <f>ROUND((P72-G72-H72-I72),2)</f>
        <v>1163.8699999999999</v>
      </c>
      <c r="K72" s="29"/>
      <c r="L72" s="29"/>
      <c r="M72" s="29"/>
      <c r="N72" s="29"/>
      <c r="O72" s="29"/>
      <c r="P72" s="34">
        <f>ROUND((6127.4+(6127.4*0.2663)),2)</f>
        <v>7759.13</v>
      </c>
      <c r="Q72" s="24"/>
    </row>
    <row r="73" spans="1:17" ht="15" customHeight="1" x14ac:dyDescent="0.2">
      <c r="A73" s="91"/>
      <c r="B73" s="39" t="s">
        <v>24</v>
      </c>
      <c r="C73" s="41" t="s">
        <v>73</v>
      </c>
      <c r="D73" s="28"/>
      <c r="E73" s="28"/>
      <c r="F73" s="28"/>
      <c r="G73" s="28"/>
      <c r="H73" s="28"/>
      <c r="I73" s="28"/>
      <c r="J73" s="28"/>
      <c r="K73" s="28"/>
      <c r="L73" s="28">
        <f>ROUND((L74/P162),4)</f>
        <v>2.9999999999999997E-4</v>
      </c>
      <c r="M73" s="28"/>
      <c r="N73" s="28"/>
      <c r="O73" s="28"/>
      <c r="P73" s="33">
        <f>ROUND(SUM(D73:O73),4)</f>
        <v>2.9999999999999997E-4</v>
      </c>
      <c r="Q73" s="24"/>
    </row>
    <row r="74" spans="1:17" ht="15" customHeight="1" x14ac:dyDescent="0.2">
      <c r="A74" s="91"/>
      <c r="B74" s="40"/>
      <c r="C74" s="42"/>
      <c r="D74" s="29"/>
      <c r="E74" s="29"/>
      <c r="F74" s="29"/>
      <c r="G74" s="29"/>
      <c r="H74" s="29"/>
      <c r="I74" s="29"/>
      <c r="J74" s="29"/>
      <c r="K74" s="29"/>
      <c r="L74" s="29">
        <f>ROUND((P74),2)</f>
        <v>914.89</v>
      </c>
      <c r="M74" s="29"/>
      <c r="N74" s="29"/>
      <c r="O74" s="29"/>
      <c r="P74" s="34">
        <f>ROUND((722.49+(722.49*0.2663)),2)</f>
        <v>914.89</v>
      </c>
      <c r="Q74" s="24"/>
    </row>
    <row r="75" spans="1:17" ht="15" customHeight="1" x14ac:dyDescent="0.2">
      <c r="A75" s="91"/>
      <c r="B75" s="39" t="s">
        <v>25</v>
      </c>
      <c r="C75" s="41" t="s">
        <v>74</v>
      </c>
      <c r="D75" s="28"/>
      <c r="E75" s="28"/>
      <c r="F75" s="28"/>
      <c r="G75" s="28"/>
      <c r="H75" s="28"/>
      <c r="I75" s="28"/>
      <c r="J75" s="28"/>
      <c r="K75" s="28"/>
      <c r="L75" s="28">
        <f>ROUND((L76/P162),4)</f>
        <v>2.5000000000000001E-3</v>
      </c>
      <c r="M75" s="28"/>
      <c r="N75" s="28"/>
      <c r="O75" s="28"/>
      <c r="P75" s="33">
        <f>ROUND(SUM(D75:O75),4)</f>
        <v>2.5000000000000001E-3</v>
      </c>
      <c r="Q75" s="24"/>
    </row>
    <row r="76" spans="1:17" ht="15" customHeight="1" x14ac:dyDescent="0.2">
      <c r="A76" s="91"/>
      <c r="B76" s="40"/>
      <c r="C76" s="42"/>
      <c r="D76" s="29"/>
      <c r="E76" s="29"/>
      <c r="F76" s="29"/>
      <c r="G76" s="29"/>
      <c r="H76" s="29"/>
      <c r="I76" s="29"/>
      <c r="J76" s="29"/>
      <c r="K76" s="29"/>
      <c r="L76" s="29">
        <f>ROUND((P76),2)</f>
        <v>7025.81</v>
      </c>
      <c r="M76" s="29"/>
      <c r="N76" s="29"/>
      <c r="O76" s="29"/>
      <c r="P76" s="34">
        <f>ROUND((5548.3+(5548.3*0.2663)),2)</f>
        <v>7025.81</v>
      </c>
      <c r="Q76" s="24"/>
    </row>
    <row r="77" spans="1:17" ht="15" customHeight="1" x14ac:dyDescent="0.2">
      <c r="A77" s="91"/>
      <c r="B77" s="39" t="s">
        <v>27</v>
      </c>
      <c r="C77" s="41" t="s">
        <v>62</v>
      </c>
      <c r="D77" s="28"/>
      <c r="E77" s="28"/>
      <c r="F77" s="28"/>
      <c r="G77" s="28"/>
      <c r="H77" s="28"/>
      <c r="I77" s="28"/>
      <c r="J77" s="28"/>
      <c r="K77" s="28"/>
      <c r="L77" s="28">
        <f>ROUND((L78/P162),4)</f>
        <v>4.0000000000000002E-4</v>
      </c>
      <c r="M77" s="28"/>
      <c r="N77" s="28"/>
      <c r="O77" s="28"/>
      <c r="P77" s="33">
        <f>ROUND(SUM(D77:O77),4)</f>
        <v>4.0000000000000002E-4</v>
      </c>
      <c r="Q77" s="24"/>
    </row>
    <row r="78" spans="1:17" ht="15" customHeight="1" x14ac:dyDescent="0.2">
      <c r="A78" s="91"/>
      <c r="B78" s="40"/>
      <c r="C78" s="42"/>
      <c r="D78" s="29"/>
      <c r="E78" s="29"/>
      <c r="F78" s="29"/>
      <c r="G78" s="29"/>
      <c r="H78" s="29"/>
      <c r="I78" s="29"/>
      <c r="J78" s="29"/>
      <c r="K78" s="29"/>
      <c r="L78" s="29">
        <f>ROUND((P78),2)</f>
        <v>1122.22</v>
      </c>
      <c r="M78" s="29"/>
      <c r="N78" s="29"/>
      <c r="O78" s="29"/>
      <c r="P78" s="34">
        <f>ROUND((886.22+(886.22*0.2663)),2)</f>
        <v>1122.22</v>
      </c>
      <c r="Q78" s="24"/>
    </row>
    <row r="79" spans="1:17" ht="15" customHeight="1" x14ac:dyDescent="0.2">
      <c r="A79" s="86" t="s">
        <v>47</v>
      </c>
      <c r="B79" s="39" t="s">
        <v>44</v>
      </c>
      <c r="C79" s="41" t="s">
        <v>51</v>
      </c>
      <c r="D79" s="28">
        <f>ROUND((D80/P162),4)</f>
        <v>5.9999999999999995E-4</v>
      </c>
      <c r="E79" s="28">
        <f>ROUND((E80/P162),4)</f>
        <v>2.9999999999999997E-4</v>
      </c>
      <c r="F79" s="28">
        <f>ROUND((F80/P162),4)</f>
        <v>2.9999999999999997E-4</v>
      </c>
      <c r="G79" s="28">
        <f>ROUND((G80/P162),4)</f>
        <v>2.9999999999999997E-4</v>
      </c>
      <c r="H79" s="28">
        <f>ROUND((H80/P162),4)</f>
        <v>2.0000000000000001E-4</v>
      </c>
      <c r="I79" s="28"/>
      <c r="J79" s="28"/>
      <c r="K79" s="28"/>
      <c r="L79" s="28"/>
      <c r="M79" s="28"/>
      <c r="N79" s="28"/>
      <c r="O79" s="28"/>
      <c r="P79" s="33">
        <f>ROUND(SUM(D79:O79),4)</f>
        <v>1.6999999999999999E-3</v>
      </c>
      <c r="Q79" s="24"/>
    </row>
    <row r="80" spans="1:17" ht="15" customHeight="1" x14ac:dyDescent="0.2">
      <c r="A80" s="87"/>
      <c r="B80" s="40"/>
      <c r="C80" s="42"/>
      <c r="D80" s="29">
        <f>ROUND((P80*0.35),2)</f>
        <v>1672.24</v>
      </c>
      <c r="E80" s="29">
        <f>ROUND((P80*0.2),2)</f>
        <v>955.57</v>
      </c>
      <c r="F80" s="29">
        <f>ROUND((P80*0.18),2)</f>
        <v>860.01</v>
      </c>
      <c r="G80" s="29">
        <f>ROUND((P80*0.15),2)</f>
        <v>716.67</v>
      </c>
      <c r="H80" s="29">
        <f>ROUND((P80-G80-F80-E80-D80),2)</f>
        <v>573.34</v>
      </c>
      <c r="I80" s="29"/>
      <c r="J80" s="29"/>
      <c r="K80" s="29"/>
      <c r="L80" s="29"/>
      <c r="M80" s="29"/>
      <c r="N80" s="29"/>
      <c r="O80" s="29"/>
      <c r="P80" s="34">
        <f>ROUND((3773.06+(3773.06*0.2663)),2)</f>
        <v>4777.83</v>
      </c>
      <c r="Q80" s="24"/>
    </row>
    <row r="81" spans="1:17" ht="15" customHeight="1" x14ac:dyDescent="0.2">
      <c r="A81" s="87"/>
      <c r="B81" s="39" t="s">
        <v>11</v>
      </c>
      <c r="C81" s="41" t="s">
        <v>52</v>
      </c>
      <c r="D81" s="28">
        <f>ROUND((D82/P162),4)</f>
        <v>4.1999999999999997E-3</v>
      </c>
      <c r="E81" s="28">
        <f>ROUND((E82/P162),4)</f>
        <v>2.8E-3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33">
        <f>ROUND(SUM(D81:O81),4)</f>
        <v>7.0000000000000001E-3</v>
      </c>
      <c r="Q81" s="24"/>
    </row>
    <row r="82" spans="1:17" ht="15" customHeight="1" x14ac:dyDescent="0.2">
      <c r="A82" s="87"/>
      <c r="B82" s="40"/>
      <c r="C82" s="42"/>
      <c r="D82" s="29">
        <f>ROUND((P82*0.6),2)</f>
        <v>11612.29</v>
      </c>
      <c r="E82" s="29">
        <f>ROUND((P82-D82),2)</f>
        <v>7741.52</v>
      </c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34">
        <f>ROUND((15283.75+(15283.75*0.2663)),2)</f>
        <v>19353.810000000001</v>
      </c>
      <c r="Q82" s="24"/>
    </row>
    <row r="83" spans="1:17" ht="15" customHeight="1" x14ac:dyDescent="0.2">
      <c r="A83" s="87"/>
      <c r="B83" s="39" t="s">
        <v>12</v>
      </c>
      <c r="C83" s="41" t="s">
        <v>63</v>
      </c>
      <c r="D83" s="28"/>
      <c r="E83" s="28">
        <f>ROUND((E84/P162),4)</f>
        <v>1.6999999999999999E-3</v>
      </c>
      <c r="F83" s="28">
        <f>ROUND((F84/P162),4)</f>
        <v>4.0000000000000001E-3</v>
      </c>
      <c r="G83" s="28"/>
      <c r="H83" s="28"/>
      <c r="I83" s="28"/>
      <c r="J83" s="28"/>
      <c r="K83" s="28"/>
      <c r="L83" s="28"/>
      <c r="M83" s="28"/>
      <c r="N83" s="28"/>
      <c r="O83" s="28"/>
      <c r="P83" s="33">
        <f>ROUND(SUM(D83:O83),4)</f>
        <v>5.7000000000000002E-3</v>
      </c>
      <c r="Q83" s="24"/>
    </row>
    <row r="84" spans="1:17" ht="15" customHeight="1" x14ac:dyDescent="0.2">
      <c r="A84" s="87"/>
      <c r="B84" s="40"/>
      <c r="C84" s="42"/>
      <c r="D84" s="29"/>
      <c r="E84" s="29">
        <f>ROUND((P84*0.3),2)</f>
        <v>4781.76</v>
      </c>
      <c r="F84" s="29">
        <f>ROUND((P84-E84),2)</f>
        <v>11157.45</v>
      </c>
      <c r="G84" s="29"/>
      <c r="H84" s="29"/>
      <c r="I84" s="29"/>
      <c r="J84" s="29"/>
      <c r="K84" s="29"/>
      <c r="L84" s="29"/>
      <c r="M84" s="29"/>
      <c r="N84" s="29"/>
      <c r="O84" s="29"/>
      <c r="P84" s="34">
        <f>ROUND((12587.23+(12587.23*0.2663)),2)</f>
        <v>15939.21</v>
      </c>
      <c r="Q84" s="24"/>
    </row>
    <row r="85" spans="1:17" ht="15" customHeight="1" x14ac:dyDescent="0.2">
      <c r="A85" s="87"/>
      <c r="B85" s="39" t="s">
        <v>13</v>
      </c>
      <c r="C85" s="41" t="s">
        <v>64</v>
      </c>
      <c r="D85" s="28"/>
      <c r="E85" s="28">
        <f>ROUND((E86/P162),4)</f>
        <v>1.5E-3</v>
      </c>
      <c r="F85" s="28">
        <f>ROUND((F86/P162),4)</f>
        <v>2E-3</v>
      </c>
      <c r="G85" s="28">
        <f>ROUND((G86/P162),4)</f>
        <v>8.9999999999999998E-4</v>
      </c>
      <c r="H85" s="28"/>
      <c r="I85" s="28"/>
      <c r="J85" s="28"/>
      <c r="K85" s="28"/>
      <c r="L85" s="28"/>
      <c r="M85" s="28"/>
      <c r="N85" s="28"/>
      <c r="O85" s="28"/>
      <c r="P85" s="33">
        <f>ROUND(SUM(D85:O85),4)</f>
        <v>4.4000000000000003E-3</v>
      </c>
      <c r="Q85" s="24"/>
    </row>
    <row r="86" spans="1:17" ht="15" customHeight="1" x14ac:dyDescent="0.2">
      <c r="A86" s="87"/>
      <c r="B86" s="40"/>
      <c r="C86" s="42"/>
      <c r="D86" s="29"/>
      <c r="E86" s="29">
        <f>ROUND((P86*0.35),2)</f>
        <v>4242.82</v>
      </c>
      <c r="F86" s="29">
        <f>ROUND((P86*0.45),2)</f>
        <v>5455.05</v>
      </c>
      <c r="G86" s="29">
        <f>ROUND((P86-E86-F86),2)</f>
        <v>2424.4699999999998</v>
      </c>
      <c r="H86" s="29"/>
      <c r="I86" s="29"/>
      <c r="J86" s="29"/>
      <c r="K86" s="29"/>
      <c r="L86" s="29"/>
      <c r="M86" s="29"/>
      <c r="N86" s="29"/>
      <c r="O86" s="29"/>
      <c r="P86" s="34">
        <f>ROUND((9573.04+(9573.04*0.2663)),2)</f>
        <v>12122.34</v>
      </c>
      <c r="Q86" s="24"/>
    </row>
    <row r="87" spans="1:17" ht="15" customHeight="1" x14ac:dyDescent="0.2">
      <c r="A87" s="87"/>
      <c r="B87" s="39" t="s">
        <v>14</v>
      </c>
      <c r="C87" s="41" t="s">
        <v>65</v>
      </c>
      <c r="D87" s="28"/>
      <c r="E87" s="28"/>
      <c r="F87" s="28">
        <f>ROUND((F88/P162),4)</f>
        <v>5.4999999999999997E-3</v>
      </c>
      <c r="G87" s="28">
        <f>ROUND((G88/P162),4)</f>
        <v>3.3E-3</v>
      </c>
      <c r="H87" s="28">
        <f>ROUND((H88/P162),4)</f>
        <v>2.2000000000000001E-3</v>
      </c>
      <c r="I87" s="28"/>
      <c r="J87" s="28"/>
      <c r="K87" s="28"/>
      <c r="L87" s="28"/>
      <c r="M87" s="28"/>
      <c r="N87" s="28"/>
      <c r="O87" s="28"/>
      <c r="P87" s="33">
        <f>ROUND(SUM(D87:O87),4)</f>
        <v>1.0999999999999999E-2</v>
      </c>
      <c r="Q87" s="24"/>
    </row>
    <row r="88" spans="1:17" ht="15" customHeight="1" x14ac:dyDescent="0.2">
      <c r="A88" s="87"/>
      <c r="B88" s="40"/>
      <c r="C88" s="42"/>
      <c r="D88" s="29"/>
      <c r="E88" s="29"/>
      <c r="F88" s="29">
        <f>ROUND((P88*0.5),2)</f>
        <v>15393.39</v>
      </c>
      <c r="G88" s="29">
        <f>ROUND((P88*0.3),2)</f>
        <v>9236.0300000000007</v>
      </c>
      <c r="H88" s="29">
        <f>ROUND((P88-F88-G88),2)</f>
        <v>6157.36</v>
      </c>
      <c r="I88" s="29"/>
      <c r="J88" s="29"/>
      <c r="K88" s="29"/>
      <c r="L88" s="29"/>
      <c r="M88" s="29"/>
      <c r="N88" s="29"/>
      <c r="O88" s="29"/>
      <c r="P88" s="34">
        <f>ROUND((24312.39+(24312.39*0.2663)),2)</f>
        <v>30786.78</v>
      </c>
      <c r="Q88" s="24"/>
    </row>
    <row r="89" spans="1:17" ht="15" customHeight="1" x14ac:dyDescent="0.2">
      <c r="A89" s="87"/>
      <c r="B89" s="39" t="s">
        <v>15</v>
      </c>
      <c r="C89" s="41" t="s">
        <v>66</v>
      </c>
      <c r="D89" s="28"/>
      <c r="E89" s="28"/>
      <c r="F89" s="28"/>
      <c r="G89" s="28"/>
      <c r="H89" s="28">
        <f>ROUND((H90/P162),4)</f>
        <v>7.0000000000000001E-3</v>
      </c>
      <c r="I89" s="28"/>
      <c r="J89" s="28"/>
      <c r="K89" s="28"/>
      <c r="L89" s="28"/>
      <c r="M89" s="28"/>
      <c r="N89" s="28"/>
      <c r="O89" s="28"/>
      <c r="P89" s="33">
        <f>ROUND(SUM(D89:O89),4)</f>
        <v>7.0000000000000001E-3</v>
      </c>
      <c r="Q89" s="24"/>
    </row>
    <row r="90" spans="1:17" ht="15" customHeight="1" x14ac:dyDescent="0.2">
      <c r="A90" s="87"/>
      <c r="B90" s="40"/>
      <c r="C90" s="42"/>
      <c r="D90" s="29"/>
      <c r="E90" s="29"/>
      <c r="F90" s="29"/>
      <c r="G90" s="29"/>
      <c r="H90" s="29">
        <f>ROUND((P90),2)</f>
        <v>19366.64</v>
      </c>
      <c r="I90" s="29"/>
      <c r="J90" s="29"/>
      <c r="K90" s="29"/>
      <c r="L90" s="29"/>
      <c r="M90" s="29"/>
      <c r="N90" s="29"/>
      <c r="O90" s="29"/>
      <c r="P90" s="34">
        <f>ROUND((15293.88+(15293.88*0.2663)),2)</f>
        <v>19366.64</v>
      </c>
      <c r="Q90" s="24"/>
    </row>
    <row r="91" spans="1:17" ht="15" customHeight="1" x14ac:dyDescent="0.2">
      <c r="A91" s="87"/>
      <c r="B91" s="39" t="s">
        <v>16</v>
      </c>
      <c r="C91" s="41" t="s">
        <v>67</v>
      </c>
      <c r="D91" s="28"/>
      <c r="E91" s="28"/>
      <c r="F91" s="28"/>
      <c r="G91" s="28"/>
      <c r="H91" s="28">
        <f>ROUND((H92/P162),4)</f>
        <v>3.7000000000000002E-3</v>
      </c>
      <c r="I91" s="28">
        <f>ROUND((I92/P162),4)</f>
        <v>4.5999999999999999E-3</v>
      </c>
      <c r="J91" s="28"/>
      <c r="K91" s="28"/>
      <c r="L91" s="28"/>
      <c r="M91" s="28"/>
      <c r="N91" s="28"/>
      <c r="O91" s="28"/>
      <c r="P91" s="33">
        <f>ROUND(SUM(D91:O91),4)</f>
        <v>8.3000000000000001E-3</v>
      </c>
      <c r="Q91" s="24"/>
    </row>
    <row r="92" spans="1:17" ht="15" customHeight="1" x14ac:dyDescent="0.2">
      <c r="A92" s="87"/>
      <c r="B92" s="40"/>
      <c r="C92" s="42"/>
      <c r="D92" s="29"/>
      <c r="E92" s="29"/>
      <c r="F92" s="29"/>
      <c r="G92" s="29"/>
      <c r="H92" s="29">
        <f>ROUND((P92*0.45),2)</f>
        <v>10418.02</v>
      </c>
      <c r="I92" s="29">
        <f>ROUND((P92-H92),2)</f>
        <v>12733.14</v>
      </c>
      <c r="J92" s="29"/>
      <c r="K92" s="29"/>
      <c r="L92" s="29"/>
      <c r="M92" s="29"/>
      <c r="N92" s="29"/>
      <c r="O92" s="29"/>
      <c r="P92" s="34">
        <f>ROUND((18282.52+(18282.52*0.2663)),2)</f>
        <v>23151.16</v>
      </c>
      <c r="Q92" s="24"/>
    </row>
    <row r="93" spans="1:17" ht="15" customHeight="1" x14ac:dyDescent="0.2">
      <c r="A93" s="87"/>
      <c r="B93" s="39" t="s">
        <v>17</v>
      </c>
      <c r="C93" s="41" t="s">
        <v>75</v>
      </c>
      <c r="D93" s="28"/>
      <c r="E93" s="28"/>
      <c r="F93" s="28"/>
      <c r="G93" s="28"/>
      <c r="H93" s="28"/>
      <c r="I93" s="28">
        <f>ROUND((I94/P162),4)</f>
        <v>1.6999999999999999E-3</v>
      </c>
      <c r="J93" s="28"/>
      <c r="K93" s="28"/>
      <c r="L93" s="28"/>
      <c r="M93" s="28"/>
      <c r="N93" s="28"/>
      <c r="O93" s="28"/>
      <c r="P93" s="33">
        <f>ROUND(SUM(D93:O93),4)</f>
        <v>1.6999999999999999E-3</v>
      </c>
      <c r="Q93" s="24"/>
    </row>
    <row r="94" spans="1:17" ht="15" customHeight="1" x14ac:dyDescent="0.2">
      <c r="A94" s="87"/>
      <c r="B94" s="40"/>
      <c r="C94" s="42"/>
      <c r="D94" s="29"/>
      <c r="E94" s="29"/>
      <c r="F94" s="29"/>
      <c r="G94" s="29"/>
      <c r="H94" s="29"/>
      <c r="I94" s="29">
        <f>ROUND((P94),2)</f>
        <v>4670.8500000000004</v>
      </c>
      <c r="J94" s="29"/>
      <c r="K94" s="29"/>
      <c r="L94" s="29"/>
      <c r="M94" s="29"/>
      <c r="N94" s="29"/>
      <c r="O94" s="29"/>
      <c r="P94" s="34">
        <f>ROUND((3688.58+(3688.58*0.2663)),2)</f>
        <v>4670.8500000000004</v>
      </c>
      <c r="Q94" s="24"/>
    </row>
    <row r="95" spans="1:17" ht="15" customHeight="1" x14ac:dyDescent="0.2">
      <c r="A95" s="87"/>
      <c r="B95" s="39" t="s">
        <v>18</v>
      </c>
      <c r="C95" s="41" t="s">
        <v>76</v>
      </c>
      <c r="D95" s="28"/>
      <c r="E95" s="28"/>
      <c r="F95" s="28"/>
      <c r="G95" s="28"/>
      <c r="H95" s="28"/>
      <c r="I95" s="28">
        <f>ROUND((I96/P162),4)</f>
        <v>2.7000000000000001E-3</v>
      </c>
      <c r="J95" s="28"/>
      <c r="K95" s="28"/>
      <c r="L95" s="28"/>
      <c r="M95" s="28"/>
      <c r="N95" s="28"/>
      <c r="O95" s="28"/>
      <c r="P95" s="33">
        <f>ROUND(SUM(D95:O95),4)</f>
        <v>2.7000000000000001E-3</v>
      </c>
      <c r="Q95" s="24"/>
    </row>
    <row r="96" spans="1:17" ht="15" customHeight="1" x14ac:dyDescent="0.2">
      <c r="A96" s="87"/>
      <c r="B96" s="40"/>
      <c r="C96" s="42"/>
      <c r="D96" s="29"/>
      <c r="E96" s="29"/>
      <c r="F96" s="29"/>
      <c r="G96" s="29"/>
      <c r="H96" s="29"/>
      <c r="I96" s="29">
        <f>ROUND((P96),2)</f>
        <v>7407.3</v>
      </c>
      <c r="J96" s="29"/>
      <c r="K96" s="29"/>
      <c r="L96" s="29"/>
      <c r="M96" s="29"/>
      <c r="N96" s="29"/>
      <c r="O96" s="29"/>
      <c r="P96" s="34">
        <f>ROUND((5849.56+(5849.56*0.2663)),2)</f>
        <v>7407.3</v>
      </c>
      <c r="Q96" s="24"/>
    </row>
    <row r="97" spans="1:17" ht="15" customHeight="1" x14ac:dyDescent="0.2">
      <c r="A97" s="87"/>
      <c r="B97" s="39" t="s">
        <v>19</v>
      </c>
      <c r="C97" s="41" t="s">
        <v>70</v>
      </c>
      <c r="D97" s="28"/>
      <c r="E97" s="28"/>
      <c r="F97" s="28"/>
      <c r="G97" s="28"/>
      <c r="H97" s="28"/>
      <c r="I97" s="28">
        <f>ROUND((I98/P162),4)</f>
        <v>1.3899999999999999E-2</v>
      </c>
      <c r="J97" s="28">
        <f>ROUND((J98/P162),4)</f>
        <v>2.0899999999999998E-2</v>
      </c>
      <c r="K97" s="28"/>
      <c r="L97" s="28"/>
      <c r="M97" s="28"/>
      <c r="N97" s="28"/>
      <c r="O97" s="28"/>
      <c r="P97" s="33">
        <f>ROUND(SUM(D97:O97),4)</f>
        <v>3.4799999999999998E-2</v>
      </c>
      <c r="Q97" s="24"/>
    </row>
    <row r="98" spans="1:17" ht="15" customHeight="1" x14ac:dyDescent="0.2">
      <c r="A98" s="87"/>
      <c r="B98" s="40"/>
      <c r="C98" s="42"/>
      <c r="D98" s="29"/>
      <c r="E98" s="29"/>
      <c r="F98" s="29"/>
      <c r="G98" s="29"/>
      <c r="H98" s="29"/>
      <c r="I98" s="29">
        <f>ROUND((P98*0.4),2)</f>
        <v>38698.050000000003</v>
      </c>
      <c r="J98" s="29">
        <f>ROUND((P98-I98),2)</f>
        <v>58047.08</v>
      </c>
      <c r="K98" s="29"/>
      <c r="L98" s="29"/>
      <c r="M98" s="29"/>
      <c r="N98" s="29"/>
      <c r="O98" s="29"/>
      <c r="P98" s="34">
        <f>ROUND((76399.85+(76399.85*0.2663)),2)</f>
        <v>96745.13</v>
      </c>
      <c r="Q98" s="24"/>
    </row>
    <row r="99" spans="1:17" ht="15" customHeight="1" x14ac:dyDescent="0.2">
      <c r="A99" s="87"/>
      <c r="B99" s="39" t="s">
        <v>20</v>
      </c>
      <c r="C99" s="41" t="s">
        <v>77</v>
      </c>
      <c r="D99" s="28"/>
      <c r="E99" s="28"/>
      <c r="F99" s="28"/>
      <c r="G99" s="28"/>
      <c r="H99" s="28"/>
      <c r="I99" s="28"/>
      <c r="J99" s="28">
        <f>ROUND((J100/P162),4)</f>
        <v>8.0000000000000004E-4</v>
      </c>
      <c r="K99" s="28">
        <f>ROUND((K100/P162),4)</f>
        <v>1.8E-3</v>
      </c>
      <c r="L99" s="28"/>
      <c r="M99" s="28"/>
      <c r="N99" s="28"/>
      <c r="O99" s="28"/>
      <c r="P99" s="33">
        <f>ROUND(SUM(D99:O99),4)</f>
        <v>2.5999999999999999E-3</v>
      </c>
      <c r="Q99" s="24"/>
    </row>
    <row r="100" spans="1:17" ht="15" customHeight="1" x14ac:dyDescent="0.2">
      <c r="A100" s="87"/>
      <c r="B100" s="40"/>
      <c r="C100" s="42"/>
      <c r="D100" s="29"/>
      <c r="E100" s="29"/>
      <c r="F100" s="29"/>
      <c r="G100" s="29"/>
      <c r="H100" s="29"/>
      <c r="I100" s="29"/>
      <c r="J100" s="29">
        <f>ROUND((P100*0.3),2)</f>
        <v>2160.5</v>
      </c>
      <c r="K100" s="29">
        <f>ROUND((P100-J100),2)</f>
        <v>5041.1499999999996</v>
      </c>
      <c r="L100" s="29"/>
      <c r="M100" s="29"/>
      <c r="N100" s="29"/>
      <c r="O100" s="29"/>
      <c r="P100" s="34">
        <f>ROUND((5687.16+(5687.16*0.2663)),2)</f>
        <v>7201.65</v>
      </c>
      <c r="Q100" s="24"/>
    </row>
    <row r="101" spans="1:17" ht="15" customHeight="1" x14ac:dyDescent="0.2">
      <c r="A101" s="87"/>
      <c r="B101" s="39" t="s">
        <v>21</v>
      </c>
      <c r="C101" s="41" t="s">
        <v>72</v>
      </c>
      <c r="D101" s="28"/>
      <c r="E101" s="28"/>
      <c r="F101" s="28"/>
      <c r="G101" s="28"/>
      <c r="H101" s="28"/>
      <c r="I101" s="28"/>
      <c r="J101" s="28"/>
      <c r="K101" s="28">
        <f>ROUND((K102/P162),4)</f>
        <v>8.9999999999999993E-3</v>
      </c>
      <c r="L101" s="28"/>
      <c r="M101" s="28"/>
      <c r="N101" s="28"/>
      <c r="O101" s="28"/>
      <c r="P101" s="33">
        <f>ROUND(SUM(D101:O101),4)</f>
        <v>8.9999999999999993E-3</v>
      </c>
      <c r="Q101" s="24"/>
    </row>
    <row r="102" spans="1:17" ht="15" customHeight="1" x14ac:dyDescent="0.2">
      <c r="A102" s="87"/>
      <c r="B102" s="40"/>
      <c r="C102" s="42"/>
      <c r="D102" s="29"/>
      <c r="E102" s="29"/>
      <c r="F102" s="29"/>
      <c r="G102" s="29"/>
      <c r="H102" s="29"/>
      <c r="I102" s="29"/>
      <c r="J102" s="29"/>
      <c r="K102" s="29">
        <f>ROUND((P102),2)</f>
        <v>25047.79</v>
      </c>
      <c r="L102" s="29"/>
      <c r="M102" s="29"/>
      <c r="N102" s="29"/>
      <c r="O102" s="29"/>
      <c r="P102" s="34">
        <f>ROUND((19780.3+(19780.3*0.2663)),2)</f>
        <v>25047.79</v>
      </c>
      <c r="Q102" s="24"/>
    </row>
    <row r="103" spans="1:17" ht="15" customHeight="1" x14ac:dyDescent="0.2">
      <c r="A103" s="87"/>
      <c r="B103" s="39" t="s">
        <v>22</v>
      </c>
      <c r="C103" s="41" t="s">
        <v>78</v>
      </c>
      <c r="D103" s="28"/>
      <c r="E103" s="28"/>
      <c r="F103" s="28">
        <f>ROUND((F104/P162),4)</f>
        <v>1.5E-3</v>
      </c>
      <c r="G103" s="28">
        <f>ROUND((G104/P162),4)</f>
        <v>1E-3</v>
      </c>
      <c r="H103" s="28"/>
      <c r="I103" s="28"/>
      <c r="J103" s="28">
        <f>ROUND((J104/P162),4)</f>
        <v>1.1999999999999999E-3</v>
      </c>
      <c r="K103" s="28">
        <f>ROUND((K104/P162),4)</f>
        <v>1.1999999999999999E-3</v>
      </c>
      <c r="L103" s="28"/>
      <c r="M103" s="28"/>
      <c r="N103" s="28"/>
      <c r="O103" s="28"/>
      <c r="P103" s="33">
        <f>ROUND(SUM(D103:O103),4)</f>
        <v>4.8999999999999998E-3</v>
      </c>
      <c r="Q103" s="24"/>
    </row>
    <row r="104" spans="1:17" ht="15" customHeight="1" x14ac:dyDescent="0.2">
      <c r="A104" s="87"/>
      <c r="B104" s="40"/>
      <c r="C104" s="42"/>
      <c r="D104" s="29"/>
      <c r="E104" s="29"/>
      <c r="F104" s="29">
        <f>ROUND((P104*0.3),2)</f>
        <v>4148.3599999999997</v>
      </c>
      <c r="G104" s="29">
        <f>ROUND((P104*0.2),2)</f>
        <v>2765.57</v>
      </c>
      <c r="H104" s="29"/>
      <c r="I104" s="29"/>
      <c r="J104" s="29">
        <f>ROUND((P104*0.25),2)</f>
        <v>3456.97</v>
      </c>
      <c r="K104" s="29">
        <f>ROUND((P104-F104-G104-J104),2)</f>
        <v>3456.97</v>
      </c>
      <c r="L104" s="29"/>
      <c r="M104" s="29"/>
      <c r="N104" s="29"/>
      <c r="O104" s="29"/>
      <c r="P104" s="34">
        <f>ROUND((10919.9+(10919.9*0.2663)),2)</f>
        <v>13827.87</v>
      </c>
      <c r="Q104" s="24"/>
    </row>
    <row r="105" spans="1:17" ht="15" customHeight="1" x14ac:dyDescent="0.2">
      <c r="A105" s="87"/>
      <c r="B105" s="39" t="s">
        <v>23</v>
      </c>
      <c r="C105" s="41" t="s">
        <v>79</v>
      </c>
      <c r="D105" s="28"/>
      <c r="E105" s="28"/>
      <c r="F105" s="28">
        <f>ROUND((F106/P162),4)</f>
        <v>3.5999999999999999E-3</v>
      </c>
      <c r="G105" s="28">
        <f>ROUND((G106/P162),4)</f>
        <v>3.5999999999999999E-3</v>
      </c>
      <c r="H105" s="28">
        <f>ROUND((H106/P162),4)</f>
        <v>3.5999999999999999E-3</v>
      </c>
      <c r="I105" s="28">
        <f>ROUND((I106/P162),4)</f>
        <v>1.1999999999999999E-3</v>
      </c>
      <c r="J105" s="28"/>
      <c r="K105" s="28"/>
      <c r="L105" s="28"/>
      <c r="M105" s="28"/>
      <c r="N105" s="28"/>
      <c r="O105" s="28"/>
      <c r="P105" s="33">
        <f>ROUND(SUM(D105:O105),4)</f>
        <v>1.2E-2</v>
      </c>
      <c r="Q105" s="24"/>
    </row>
    <row r="106" spans="1:17" ht="15" customHeight="1" x14ac:dyDescent="0.2">
      <c r="A106" s="87"/>
      <c r="B106" s="40"/>
      <c r="C106" s="42"/>
      <c r="D106" s="29"/>
      <c r="E106" s="29"/>
      <c r="F106" s="29">
        <f>ROUND((P106*0.3),2)</f>
        <v>10128.51</v>
      </c>
      <c r="G106" s="29">
        <f>ROUND((P106*0.3),2)</f>
        <v>10128.51</v>
      </c>
      <c r="H106" s="29">
        <f>ROUND((P106*0.3),2)</f>
        <v>10128.51</v>
      </c>
      <c r="I106" s="29">
        <f>ROUND((P106-F106-G106-H106),2)</f>
        <v>3376.18</v>
      </c>
      <c r="J106" s="29"/>
      <c r="K106" s="29"/>
      <c r="L106" s="29"/>
      <c r="M106" s="29"/>
      <c r="N106" s="29"/>
      <c r="O106" s="29"/>
      <c r="P106" s="34">
        <f>ROUND((26661.7+(26661.7*0.2663)),2)</f>
        <v>33761.71</v>
      </c>
      <c r="Q106" s="24"/>
    </row>
    <row r="107" spans="1:17" ht="15" customHeight="1" x14ac:dyDescent="0.2">
      <c r="A107" s="87"/>
      <c r="B107" s="39" t="s">
        <v>24</v>
      </c>
      <c r="C107" s="41" t="s">
        <v>73</v>
      </c>
      <c r="D107" s="28"/>
      <c r="E107" s="28"/>
      <c r="F107" s="28"/>
      <c r="G107" s="28"/>
      <c r="H107" s="28"/>
      <c r="I107" s="28"/>
      <c r="J107" s="28"/>
      <c r="K107" s="28">
        <f>ROUND((K108/P162),4)</f>
        <v>5.0000000000000001E-4</v>
      </c>
      <c r="L107" s="28"/>
      <c r="M107" s="28"/>
      <c r="N107" s="28"/>
      <c r="O107" s="28"/>
      <c r="P107" s="33">
        <f>ROUND(SUM(D107:O107),4)</f>
        <v>5.0000000000000001E-4</v>
      </c>
      <c r="Q107" s="24"/>
    </row>
    <row r="108" spans="1:17" ht="15" customHeight="1" x14ac:dyDescent="0.2">
      <c r="A108" s="87"/>
      <c r="B108" s="40"/>
      <c r="C108" s="42"/>
      <c r="D108" s="29"/>
      <c r="E108" s="29"/>
      <c r="F108" s="29"/>
      <c r="G108" s="29"/>
      <c r="H108" s="29"/>
      <c r="I108" s="29"/>
      <c r="J108" s="29"/>
      <c r="K108" s="29">
        <f>ROUND((P108),2)</f>
        <v>1426.12</v>
      </c>
      <c r="L108" s="29"/>
      <c r="M108" s="29"/>
      <c r="N108" s="29"/>
      <c r="O108" s="29"/>
      <c r="P108" s="34">
        <f>ROUND((1126.21+(1126.21*0.2663)),2)</f>
        <v>1426.12</v>
      </c>
      <c r="Q108" s="24"/>
    </row>
    <row r="109" spans="1:17" ht="15" customHeight="1" x14ac:dyDescent="0.2">
      <c r="A109" s="87"/>
      <c r="B109" s="39" t="s">
        <v>25</v>
      </c>
      <c r="C109" s="41" t="s">
        <v>74</v>
      </c>
      <c r="D109" s="28"/>
      <c r="E109" s="28"/>
      <c r="F109" s="28"/>
      <c r="G109" s="28"/>
      <c r="H109" s="28"/>
      <c r="I109" s="28"/>
      <c r="J109" s="28"/>
      <c r="K109" s="28">
        <f>ROUND((K110/P162),4)</f>
        <v>1.1999999999999999E-3</v>
      </c>
      <c r="L109" s="28"/>
      <c r="M109" s="28"/>
      <c r="N109" s="28"/>
      <c r="O109" s="28"/>
      <c r="P109" s="33">
        <f>ROUND(SUM(D109:O109),4)</f>
        <v>1.1999999999999999E-3</v>
      </c>
      <c r="Q109" s="24"/>
    </row>
    <row r="110" spans="1:17" ht="15" customHeight="1" x14ac:dyDescent="0.2">
      <c r="A110" s="87"/>
      <c r="B110" s="40"/>
      <c r="C110" s="42"/>
      <c r="D110" s="29"/>
      <c r="E110" s="29"/>
      <c r="F110" s="29"/>
      <c r="G110" s="29"/>
      <c r="H110" s="29"/>
      <c r="I110" s="29"/>
      <c r="J110" s="29"/>
      <c r="K110" s="29">
        <f>ROUND((P110),2)</f>
        <v>3241.2</v>
      </c>
      <c r="L110" s="29"/>
      <c r="M110" s="29"/>
      <c r="N110" s="29"/>
      <c r="O110" s="29"/>
      <c r="P110" s="34">
        <f>ROUND((2559.58+(2559.58*0.2663)),2)</f>
        <v>3241.2</v>
      </c>
      <c r="Q110" s="24"/>
    </row>
    <row r="111" spans="1:17" ht="15" customHeight="1" x14ac:dyDescent="0.2">
      <c r="A111" s="87"/>
      <c r="B111" s="39" t="s">
        <v>27</v>
      </c>
      <c r="C111" s="41" t="s">
        <v>62</v>
      </c>
      <c r="D111" s="28"/>
      <c r="E111" s="28"/>
      <c r="F111" s="28"/>
      <c r="G111" s="28"/>
      <c r="H111" s="28"/>
      <c r="I111" s="28"/>
      <c r="J111" s="28"/>
      <c r="K111" s="28">
        <f>ROUND((K112/P162),4)</f>
        <v>5.0000000000000001E-4</v>
      </c>
      <c r="L111" s="28"/>
      <c r="M111" s="28"/>
      <c r="N111" s="28"/>
      <c r="O111" s="28"/>
      <c r="P111" s="33">
        <f>ROUND(SUM(D111:O111),4)</f>
        <v>5.0000000000000001E-4</v>
      </c>
      <c r="Q111" s="24"/>
    </row>
    <row r="112" spans="1:17" ht="15" customHeight="1" x14ac:dyDescent="0.2">
      <c r="A112" s="88"/>
      <c r="B112" s="40"/>
      <c r="C112" s="42"/>
      <c r="D112" s="29"/>
      <c r="E112" s="29"/>
      <c r="F112" s="29"/>
      <c r="G112" s="29"/>
      <c r="H112" s="29"/>
      <c r="I112" s="29"/>
      <c r="J112" s="29"/>
      <c r="K112" s="29">
        <f>ROUND((P112),2)</f>
        <v>1453.84</v>
      </c>
      <c r="L112" s="29"/>
      <c r="M112" s="29"/>
      <c r="N112" s="29"/>
      <c r="O112" s="29"/>
      <c r="P112" s="34">
        <f>ROUND((1148.1+(1148.1*0.2663)),2)</f>
        <v>1453.84</v>
      </c>
      <c r="Q112" s="24"/>
    </row>
    <row r="113" spans="1:17" ht="15" customHeight="1" x14ac:dyDescent="0.2">
      <c r="A113" s="93" t="s">
        <v>48</v>
      </c>
      <c r="B113" s="39" t="s">
        <v>44</v>
      </c>
      <c r="C113" s="41" t="s">
        <v>51</v>
      </c>
      <c r="D113" s="28">
        <f>ROUND((D114/P162),4)</f>
        <v>8.0000000000000004E-4</v>
      </c>
      <c r="E113" s="28">
        <f>ROUND((E114/P162),4)</f>
        <v>2.0000000000000001E-4</v>
      </c>
      <c r="F113" s="28">
        <f>ROUND((F114/P162),4)</f>
        <v>2.0000000000000001E-4</v>
      </c>
      <c r="G113" s="28">
        <f>ROUND((G114/P162),4)</f>
        <v>2.0000000000000001E-4</v>
      </c>
      <c r="H113" s="28"/>
      <c r="I113" s="28"/>
      <c r="J113" s="28"/>
      <c r="K113" s="28"/>
      <c r="L113" s="28"/>
      <c r="M113" s="28"/>
      <c r="N113" s="28"/>
      <c r="O113" s="28"/>
      <c r="P113" s="33">
        <f>ROUND(SUM(D113:O113),4)</f>
        <v>1.4E-3</v>
      </c>
      <c r="Q113" s="24"/>
    </row>
    <row r="114" spans="1:17" ht="15" customHeight="1" x14ac:dyDescent="0.2">
      <c r="A114" s="94"/>
      <c r="B114" s="40"/>
      <c r="C114" s="42"/>
      <c r="D114" s="29">
        <f>ROUND((P114*0.55),2)</f>
        <v>2352.36</v>
      </c>
      <c r="E114" s="29">
        <f>ROUND((P114*0.15),2)</f>
        <v>641.54999999999995</v>
      </c>
      <c r="F114" s="29">
        <f>ROUND((P114*0.15),2)</f>
        <v>641.54999999999995</v>
      </c>
      <c r="G114" s="29">
        <f>ROUND((P114-D114-E114-F114),2)</f>
        <v>641.55999999999995</v>
      </c>
      <c r="H114" s="29"/>
      <c r="I114" s="29"/>
      <c r="J114" s="29"/>
      <c r="K114" s="29"/>
      <c r="L114" s="29"/>
      <c r="M114" s="29"/>
      <c r="N114" s="29"/>
      <c r="O114" s="29"/>
      <c r="P114" s="34">
        <f>ROUND((3377.57+(3377.57*0.2663)),2)</f>
        <v>4277.0200000000004</v>
      </c>
      <c r="Q114" s="24"/>
    </row>
    <row r="115" spans="1:17" ht="15" customHeight="1" x14ac:dyDescent="0.2">
      <c r="A115" s="94"/>
      <c r="B115" s="39" t="s">
        <v>11</v>
      </c>
      <c r="C115" s="41" t="s">
        <v>54</v>
      </c>
      <c r="D115" s="28">
        <f>ROUND((D116/P162),4)</f>
        <v>5.4000000000000003E-3</v>
      </c>
      <c r="E115" s="28">
        <f>ROUND((E116/P162),4)</f>
        <v>0.01</v>
      </c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33">
        <f>ROUND(SUM(D115:O115),4)</f>
        <v>1.54E-2</v>
      </c>
      <c r="Q115" s="24"/>
    </row>
    <row r="116" spans="1:17" ht="15" customHeight="1" x14ac:dyDescent="0.2">
      <c r="A116" s="94"/>
      <c r="B116" s="40"/>
      <c r="C116" s="42"/>
      <c r="D116" s="29">
        <f>ROUND((P116*0.35),2)</f>
        <v>14944.88</v>
      </c>
      <c r="E116" s="29">
        <f>ROUND((P116-D116),2)</f>
        <v>27754.79</v>
      </c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34">
        <f>ROUND((33720.03+(33720.03*0.2663)),2)</f>
        <v>42699.67</v>
      </c>
      <c r="Q116" s="24"/>
    </row>
    <row r="117" spans="1:17" ht="15" customHeight="1" x14ac:dyDescent="0.2">
      <c r="A117" s="94"/>
      <c r="B117" s="39" t="s">
        <v>12</v>
      </c>
      <c r="C117" s="41" t="s">
        <v>52</v>
      </c>
      <c r="D117" s="28"/>
      <c r="E117" s="28">
        <f>ROUND((E118/P162),4)</f>
        <v>4.7999999999999996E-3</v>
      </c>
      <c r="F117" s="28">
        <f>ROUND((F118/P162),4)</f>
        <v>7.3000000000000001E-3</v>
      </c>
      <c r="G117" s="28"/>
      <c r="H117" s="28"/>
      <c r="I117" s="28"/>
      <c r="J117" s="28"/>
      <c r="K117" s="28"/>
      <c r="L117" s="28"/>
      <c r="M117" s="28"/>
      <c r="N117" s="28"/>
      <c r="O117" s="28"/>
      <c r="P117" s="33">
        <f>ROUND(SUM(D117:O117),4)</f>
        <v>1.21E-2</v>
      </c>
      <c r="Q117" s="24"/>
    </row>
    <row r="118" spans="1:17" ht="15" customHeight="1" x14ac:dyDescent="0.2">
      <c r="A118" s="94"/>
      <c r="B118" s="40"/>
      <c r="C118" s="42"/>
      <c r="D118" s="29"/>
      <c r="E118" s="29">
        <f>ROUND((P118*0.4),2)</f>
        <v>13459.81</v>
      </c>
      <c r="F118" s="29">
        <f>ROUND((P118-E118),2)</f>
        <v>20189.72</v>
      </c>
      <c r="G118" s="29"/>
      <c r="H118" s="29"/>
      <c r="I118" s="29"/>
      <c r="J118" s="29"/>
      <c r="K118" s="29"/>
      <c r="L118" s="29"/>
      <c r="M118" s="29"/>
      <c r="N118" s="29"/>
      <c r="O118" s="29"/>
      <c r="P118" s="34">
        <f>ROUND((26573.11+(26573.11*0.2663)),2)</f>
        <v>33649.53</v>
      </c>
      <c r="Q118" s="24"/>
    </row>
    <row r="119" spans="1:17" ht="15" customHeight="1" x14ac:dyDescent="0.2">
      <c r="A119" s="94"/>
      <c r="B119" s="39" t="s">
        <v>13</v>
      </c>
      <c r="C119" s="41" t="s">
        <v>63</v>
      </c>
      <c r="D119" s="28"/>
      <c r="E119" s="28"/>
      <c r="F119" s="28">
        <f>ROUND((F120/P162),4)</f>
        <v>4.7000000000000002E-3</v>
      </c>
      <c r="G119" s="28">
        <f>ROUND((G120/P162),4)</f>
        <v>4.7000000000000002E-3</v>
      </c>
      <c r="H119" s="28">
        <f>ROUND((H120/P162),4)</f>
        <v>2.3999999999999998E-3</v>
      </c>
      <c r="I119" s="28"/>
      <c r="J119" s="28"/>
      <c r="K119" s="28"/>
      <c r="L119" s="28"/>
      <c r="M119" s="28"/>
      <c r="N119" s="28"/>
      <c r="O119" s="28"/>
      <c r="P119" s="33">
        <f>ROUND(SUM(D119:O119),4)</f>
        <v>1.18E-2</v>
      </c>
      <c r="Q119" s="24"/>
    </row>
    <row r="120" spans="1:17" ht="15" customHeight="1" x14ac:dyDescent="0.2">
      <c r="A120" s="94"/>
      <c r="B120" s="40"/>
      <c r="C120" s="42"/>
      <c r="D120" s="29"/>
      <c r="E120" s="29"/>
      <c r="F120" s="29">
        <f>ROUND((P120*0.4),2)</f>
        <v>13102.46</v>
      </c>
      <c r="G120" s="29">
        <f>ROUND((P120*0.4),2)</f>
        <v>13102.46</v>
      </c>
      <c r="H120" s="29">
        <f>ROUND((P120-F120-G120),2)</f>
        <v>6551.23</v>
      </c>
      <c r="I120" s="29"/>
      <c r="J120" s="29"/>
      <c r="K120" s="29"/>
      <c r="L120" s="29"/>
      <c r="M120" s="29"/>
      <c r="N120" s="29"/>
      <c r="O120" s="29"/>
      <c r="P120" s="34">
        <f>ROUND((25867.61+(25867.61*0.2663)),2)</f>
        <v>32756.15</v>
      </c>
      <c r="Q120" s="24"/>
    </row>
    <row r="121" spans="1:17" ht="15" customHeight="1" x14ac:dyDescent="0.2">
      <c r="A121" s="94"/>
      <c r="B121" s="39" t="s">
        <v>14</v>
      </c>
      <c r="C121" s="41" t="s">
        <v>64</v>
      </c>
      <c r="D121" s="28"/>
      <c r="E121" s="28"/>
      <c r="F121" s="28">
        <f>ROUND((F122/P162),4)</f>
        <v>3.3E-3</v>
      </c>
      <c r="G121" s="28">
        <f>ROUND((G122/P162),4)</f>
        <v>2.7000000000000001E-3</v>
      </c>
      <c r="H121" s="28">
        <f>ROUND((H122/P162),4)</f>
        <v>6.9999999999999999E-4</v>
      </c>
      <c r="I121" s="28"/>
      <c r="J121" s="28"/>
      <c r="K121" s="28"/>
      <c r="L121" s="28"/>
      <c r="M121" s="28"/>
      <c r="N121" s="28"/>
      <c r="O121" s="28"/>
      <c r="P121" s="33">
        <f>ROUND(SUM(D121:O121),4)</f>
        <v>6.7000000000000002E-3</v>
      </c>
      <c r="Q121" s="24"/>
    </row>
    <row r="122" spans="1:17" ht="15" customHeight="1" x14ac:dyDescent="0.2">
      <c r="A122" s="94"/>
      <c r="B122" s="40"/>
      <c r="C122" s="42"/>
      <c r="D122" s="29"/>
      <c r="E122" s="29"/>
      <c r="F122" s="29">
        <f>ROUND((P122*0.5),2)</f>
        <v>9209.9500000000007</v>
      </c>
      <c r="G122" s="29">
        <f>ROUND((P122*0.4),2)</f>
        <v>7367.96</v>
      </c>
      <c r="H122" s="29">
        <f>ROUND((P122-F122-G122),2)</f>
        <v>1841.99</v>
      </c>
      <c r="I122" s="29"/>
      <c r="J122" s="29"/>
      <c r="K122" s="29"/>
      <c r="L122" s="29"/>
      <c r="M122" s="29"/>
      <c r="N122" s="29"/>
      <c r="O122" s="29"/>
      <c r="P122" s="34">
        <f>ROUND((14546.24+(14546.24*0.2663)),2)</f>
        <v>18419.900000000001</v>
      </c>
      <c r="Q122" s="24"/>
    </row>
    <row r="123" spans="1:17" ht="15" customHeight="1" x14ac:dyDescent="0.2">
      <c r="A123" s="94"/>
      <c r="B123" s="39" t="s">
        <v>15</v>
      </c>
      <c r="C123" s="41" t="s">
        <v>65</v>
      </c>
      <c r="D123" s="28"/>
      <c r="E123" s="28"/>
      <c r="F123" s="28"/>
      <c r="G123" s="28"/>
      <c r="H123" s="28">
        <f>ROUND((H124/P162),4)</f>
        <v>4.0000000000000002E-4</v>
      </c>
      <c r="I123" s="28"/>
      <c r="J123" s="28"/>
      <c r="K123" s="28"/>
      <c r="L123" s="28"/>
      <c r="M123" s="28"/>
      <c r="N123" s="28"/>
      <c r="O123" s="28"/>
      <c r="P123" s="33">
        <f>ROUND(SUM(D123:O123),4)</f>
        <v>4.0000000000000002E-4</v>
      </c>
      <c r="Q123" s="24"/>
    </row>
    <row r="124" spans="1:17" ht="15" customHeight="1" x14ac:dyDescent="0.2">
      <c r="A124" s="94"/>
      <c r="B124" s="40"/>
      <c r="C124" s="42"/>
      <c r="D124" s="29"/>
      <c r="E124" s="29"/>
      <c r="F124" s="29"/>
      <c r="G124" s="29"/>
      <c r="H124" s="29">
        <f>ROUND((P124),2)</f>
        <v>1107.71</v>
      </c>
      <c r="I124" s="29"/>
      <c r="J124" s="29"/>
      <c r="K124" s="29"/>
      <c r="L124" s="29"/>
      <c r="M124" s="29"/>
      <c r="N124" s="29"/>
      <c r="O124" s="29"/>
      <c r="P124" s="34">
        <f>ROUND((874.76+(874.76*0.2663)),2)</f>
        <v>1107.71</v>
      </c>
      <c r="Q124" s="24"/>
    </row>
    <row r="125" spans="1:17" ht="15" customHeight="1" x14ac:dyDescent="0.2">
      <c r="A125" s="94"/>
      <c r="B125" s="39" t="s">
        <v>16</v>
      </c>
      <c r="C125" s="41" t="s">
        <v>67</v>
      </c>
      <c r="D125" s="28"/>
      <c r="E125" s="28"/>
      <c r="F125" s="28"/>
      <c r="G125" s="28"/>
      <c r="H125" s="28">
        <f>ROUND((H126/P162),4)</f>
        <v>1.2999999999999999E-3</v>
      </c>
      <c r="I125" s="28">
        <f>ROUND((I126/P162),4)</f>
        <v>2.7000000000000001E-3</v>
      </c>
      <c r="J125" s="28">
        <f>ROUND((J126/P162),4)</f>
        <v>2.7000000000000001E-3</v>
      </c>
      <c r="K125" s="28"/>
      <c r="L125" s="28"/>
      <c r="M125" s="28"/>
      <c r="N125" s="28"/>
      <c r="O125" s="28"/>
      <c r="P125" s="33">
        <f>ROUND(SUM(D125:O125),4)</f>
        <v>6.7000000000000002E-3</v>
      </c>
      <c r="Q125" s="24"/>
    </row>
    <row r="126" spans="1:17" ht="15" customHeight="1" x14ac:dyDescent="0.2">
      <c r="A126" s="94"/>
      <c r="B126" s="40"/>
      <c r="C126" s="42"/>
      <c r="D126" s="29"/>
      <c r="E126" s="29"/>
      <c r="F126" s="29"/>
      <c r="G126" s="29"/>
      <c r="H126" s="29">
        <f>ROUND((P126*0.2),2)</f>
        <v>3717.94</v>
      </c>
      <c r="I126" s="29">
        <f>ROUND((P126*0.4),2)</f>
        <v>7435.88</v>
      </c>
      <c r="J126" s="29">
        <f>ROUND((P126-I126-H126),2)</f>
        <v>7435.89</v>
      </c>
      <c r="K126" s="29"/>
      <c r="L126" s="29"/>
      <c r="M126" s="29"/>
      <c r="N126" s="29"/>
      <c r="O126" s="29"/>
      <c r="P126" s="34">
        <f>ROUND((14680.34+(14680.34*0.2663)),2)</f>
        <v>18589.71</v>
      </c>
      <c r="Q126" s="24"/>
    </row>
    <row r="127" spans="1:17" ht="15" customHeight="1" x14ac:dyDescent="0.2">
      <c r="A127" s="94"/>
      <c r="B127" s="39" t="s">
        <v>17</v>
      </c>
      <c r="C127" s="41" t="s">
        <v>75</v>
      </c>
      <c r="D127" s="28"/>
      <c r="E127" s="28"/>
      <c r="F127" s="28"/>
      <c r="G127" s="28"/>
      <c r="H127" s="28">
        <f>ROUND((H128/P162),4)</f>
        <v>4.0000000000000002E-4</v>
      </c>
      <c r="I127" s="28"/>
      <c r="J127" s="28"/>
      <c r="K127" s="28"/>
      <c r="L127" s="28"/>
      <c r="M127" s="28"/>
      <c r="N127" s="28"/>
      <c r="O127" s="28"/>
      <c r="P127" s="33">
        <f>ROUND(SUM(D127:O127),4)</f>
        <v>4.0000000000000002E-4</v>
      </c>
      <c r="Q127" s="24"/>
    </row>
    <row r="128" spans="1:17" ht="15" customHeight="1" x14ac:dyDescent="0.2">
      <c r="A128" s="94"/>
      <c r="B128" s="40"/>
      <c r="C128" s="42"/>
      <c r="D128" s="29"/>
      <c r="E128" s="29"/>
      <c r="F128" s="29"/>
      <c r="G128" s="29"/>
      <c r="H128" s="29">
        <f>ROUND((P128),2)</f>
        <v>1106.32</v>
      </c>
      <c r="I128" s="29"/>
      <c r="J128" s="29"/>
      <c r="K128" s="29"/>
      <c r="L128" s="29"/>
      <c r="M128" s="29"/>
      <c r="N128" s="29"/>
      <c r="O128" s="29"/>
      <c r="P128" s="34">
        <f>ROUND((873.66+(873.66*0.2663)),2)</f>
        <v>1106.32</v>
      </c>
      <c r="Q128" s="24"/>
    </row>
    <row r="129" spans="1:17" ht="15" customHeight="1" x14ac:dyDescent="0.2">
      <c r="A129" s="94"/>
      <c r="B129" s="39" t="s">
        <v>18</v>
      </c>
      <c r="C129" s="41" t="s">
        <v>76</v>
      </c>
      <c r="D129" s="28"/>
      <c r="E129" s="28"/>
      <c r="F129" s="28"/>
      <c r="G129" s="28"/>
      <c r="H129" s="28">
        <f>ROUND((H130/P162),4)</f>
        <v>8.0000000000000004E-4</v>
      </c>
      <c r="I129" s="28">
        <f>ROUND((I130/P162),4)</f>
        <v>1.9E-3</v>
      </c>
      <c r="J129" s="28"/>
      <c r="K129" s="28"/>
      <c r="L129" s="28"/>
      <c r="M129" s="28"/>
      <c r="N129" s="28"/>
      <c r="O129" s="28"/>
      <c r="P129" s="33">
        <f>ROUND(SUM(D129:O129),4)</f>
        <v>2.7000000000000001E-3</v>
      </c>
      <c r="Q129" s="24"/>
    </row>
    <row r="130" spans="1:17" ht="15" customHeight="1" x14ac:dyDescent="0.2">
      <c r="A130" s="94"/>
      <c r="B130" s="40"/>
      <c r="C130" s="42"/>
      <c r="D130" s="29"/>
      <c r="E130" s="29"/>
      <c r="F130" s="29"/>
      <c r="G130" s="29"/>
      <c r="H130" s="29">
        <f>ROUND((P130*0.3),2)</f>
        <v>2294.5700000000002</v>
      </c>
      <c r="I130" s="29">
        <f>ROUND((P130-H130),2)</f>
        <v>5354.01</v>
      </c>
      <c r="J130" s="29"/>
      <c r="K130" s="29"/>
      <c r="L130" s="29"/>
      <c r="M130" s="29"/>
      <c r="N130" s="29"/>
      <c r="O130" s="29"/>
      <c r="P130" s="34">
        <f>ROUND((6040.1+(6040.1*0.2663)),2)</f>
        <v>7648.58</v>
      </c>
      <c r="Q130" s="24"/>
    </row>
    <row r="131" spans="1:17" ht="15" customHeight="1" x14ac:dyDescent="0.2">
      <c r="A131" s="94"/>
      <c r="B131" s="39" t="s">
        <v>19</v>
      </c>
      <c r="C131" s="41" t="s">
        <v>70</v>
      </c>
      <c r="D131" s="28"/>
      <c r="E131" s="28"/>
      <c r="F131" s="28"/>
      <c r="G131" s="28"/>
      <c r="H131" s="28"/>
      <c r="I131" s="28"/>
      <c r="J131" s="28">
        <f>ROUND((J132/P162),4)</f>
        <v>2.3E-3</v>
      </c>
      <c r="K131" s="28"/>
      <c r="L131" s="28"/>
      <c r="M131" s="28"/>
      <c r="N131" s="28"/>
      <c r="O131" s="28"/>
      <c r="P131" s="33">
        <f>ROUND(SUM(D131:O131),4)</f>
        <v>2.3E-3</v>
      </c>
      <c r="Q131" s="24"/>
    </row>
    <row r="132" spans="1:17" ht="15" customHeight="1" x14ac:dyDescent="0.2">
      <c r="A132" s="94"/>
      <c r="B132" s="40"/>
      <c r="C132" s="42"/>
      <c r="D132" s="29"/>
      <c r="E132" s="29"/>
      <c r="F132" s="29"/>
      <c r="G132" s="29"/>
      <c r="H132" s="29"/>
      <c r="I132" s="29"/>
      <c r="J132" s="29">
        <f>ROUND((P132),2)</f>
        <v>6435.81</v>
      </c>
      <c r="K132" s="29"/>
      <c r="L132" s="29"/>
      <c r="M132" s="29"/>
      <c r="N132" s="29"/>
      <c r="O132" s="29"/>
      <c r="P132" s="34">
        <f>ROUND((5082.37+(5082.37*0.2663)),2)</f>
        <v>6435.81</v>
      </c>
      <c r="Q132" s="24"/>
    </row>
    <row r="133" spans="1:17" ht="15" customHeight="1" x14ac:dyDescent="0.2">
      <c r="A133" s="94"/>
      <c r="B133" s="39" t="s">
        <v>20</v>
      </c>
      <c r="C133" s="41" t="s">
        <v>77</v>
      </c>
      <c r="D133" s="28"/>
      <c r="E133" s="28"/>
      <c r="F133" s="28"/>
      <c r="G133" s="28"/>
      <c r="H133" s="28"/>
      <c r="I133" s="28">
        <f>ROUND((I134/P162),4)</f>
        <v>3.8E-3</v>
      </c>
      <c r="J133" s="28">
        <f>ROUND((J134/P162),4)</f>
        <v>2.5000000000000001E-3</v>
      </c>
      <c r="K133" s="28"/>
      <c r="L133" s="28"/>
      <c r="M133" s="28"/>
      <c r="N133" s="28"/>
      <c r="O133" s="28"/>
      <c r="P133" s="33">
        <f>ROUND(SUM(D133:O133),4)</f>
        <v>6.3E-3</v>
      </c>
      <c r="Q133" s="24"/>
    </row>
    <row r="134" spans="1:17" ht="15" customHeight="1" x14ac:dyDescent="0.2">
      <c r="A134" s="94"/>
      <c r="B134" s="40"/>
      <c r="C134" s="42"/>
      <c r="D134" s="29"/>
      <c r="E134" s="29"/>
      <c r="F134" s="29"/>
      <c r="G134" s="29"/>
      <c r="H134" s="29"/>
      <c r="I134" s="29">
        <f>ROUND((P134*0.6),2)</f>
        <v>10447.11</v>
      </c>
      <c r="J134" s="29">
        <f>ROUND((P134-I134),2)</f>
        <v>6964.74</v>
      </c>
      <c r="K134" s="29"/>
      <c r="L134" s="29"/>
      <c r="M134" s="29"/>
      <c r="N134" s="29"/>
      <c r="O134" s="29"/>
      <c r="P134" s="34">
        <f>ROUND((13750.18+(13750.18*0.2663)),2)</f>
        <v>17411.849999999999</v>
      </c>
      <c r="Q134" s="24"/>
    </row>
    <row r="135" spans="1:17" ht="15" customHeight="1" x14ac:dyDescent="0.2">
      <c r="A135" s="94"/>
      <c r="B135" s="39" t="s">
        <v>21</v>
      </c>
      <c r="C135" s="41" t="s">
        <v>72</v>
      </c>
      <c r="D135" s="28"/>
      <c r="E135" s="28"/>
      <c r="F135" s="28"/>
      <c r="G135" s="28"/>
      <c r="H135" s="28"/>
      <c r="I135" s="28"/>
      <c r="J135" s="28">
        <f>ROUND((J136/P162),4)</f>
        <v>2.0000000000000001E-4</v>
      </c>
      <c r="K135" s="28"/>
      <c r="L135" s="28"/>
      <c r="M135" s="28"/>
      <c r="N135" s="28"/>
      <c r="O135" s="28"/>
      <c r="P135" s="33">
        <f>ROUND(SUM(D135:O135),4)</f>
        <v>2.0000000000000001E-4</v>
      </c>
      <c r="Q135" s="24"/>
    </row>
    <row r="136" spans="1:17" ht="15" customHeight="1" x14ac:dyDescent="0.2">
      <c r="A136" s="94"/>
      <c r="B136" s="40"/>
      <c r="C136" s="42"/>
      <c r="D136" s="29"/>
      <c r="E136" s="29"/>
      <c r="F136" s="29"/>
      <c r="G136" s="29"/>
      <c r="H136" s="29"/>
      <c r="I136" s="29"/>
      <c r="J136" s="29">
        <f>ROUND(P136,2)</f>
        <v>640.27</v>
      </c>
      <c r="K136" s="29"/>
      <c r="L136" s="29"/>
      <c r="M136" s="29"/>
      <c r="N136" s="29"/>
      <c r="O136" s="29"/>
      <c r="P136" s="34">
        <f>ROUND((505.62+(505.62*0.2663)),2)</f>
        <v>640.27</v>
      </c>
      <c r="Q136" s="24"/>
    </row>
    <row r="137" spans="1:17" ht="15" customHeight="1" x14ac:dyDescent="0.2">
      <c r="A137" s="94"/>
      <c r="B137" s="39" t="s">
        <v>22</v>
      </c>
      <c r="C137" s="41" t="s">
        <v>80</v>
      </c>
      <c r="D137" s="28"/>
      <c r="E137" s="28"/>
      <c r="F137" s="28"/>
      <c r="G137" s="28"/>
      <c r="H137" s="28">
        <f>ROUND((H138/P162),4)</f>
        <v>1.1999999999999999E-3</v>
      </c>
      <c r="I137" s="28">
        <f>ROUND((I138/P162),4)</f>
        <v>1.1999999999999999E-3</v>
      </c>
      <c r="J137" s="28">
        <f>ROUND((J138/P162),4)</f>
        <v>5.9999999999999995E-4</v>
      </c>
      <c r="K137" s="28"/>
      <c r="L137" s="28"/>
      <c r="M137" s="28"/>
      <c r="N137" s="28"/>
      <c r="O137" s="28"/>
      <c r="P137" s="33">
        <f>ROUND(SUM(D137:O137),4)</f>
        <v>3.0000000000000001E-3</v>
      </c>
      <c r="Q137" s="24"/>
    </row>
    <row r="138" spans="1:17" ht="15" customHeight="1" x14ac:dyDescent="0.2">
      <c r="A138" s="94"/>
      <c r="B138" s="40"/>
      <c r="C138" s="42"/>
      <c r="D138" s="29"/>
      <c r="E138" s="29"/>
      <c r="F138" s="29"/>
      <c r="G138" s="29"/>
      <c r="H138" s="29">
        <f>ROUND((P138*0.4),2)</f>
        <v>3299.26</v>
      </c>
      <c r="I138" s="29">
        <f>ROUND((P138*0.4),2)</f>
        <v>3299.26</v>
      </c>
      <c r="J138" s="29">
        <f>ROUND((P138-H138-I138),2)</f>
        <v>1649.63</v>
      </c>
      <c r="K138" s="29"/>
      <c r="L138" s="29"/>
      <c r="M138" s="29"/>
      <c r="N138" s="29"/>
      <c r="O138" s="29"/>
      <c r="P138" s="34">
        <f>ROUND((6513.58+(6513.58*0.2663)),2)</f>
        <v>8248.15</v>
      </c>
      <c r="Q138" s="24"/>
    </row>
    <row r="139" spans="1:17" ht="15" customHeight="1" x14ac:dyDescent="0.2">
      <c r="A139" s="94"/>
      <c r="B139" s="39" t="s">
        <v>23</v>
      </c>
      <c r="C139" s="41" t="s">
        <v>81</v>
      </c>
      <c r="D139" s="28"/>
      <c r="E139" s="28"/>
      <c r="F139" s="28"/>
      <c r="G139" s="28">
        <f>ROUND((G140/P162),4)</f>
        <v>8.0000000000000004E-4</v>
      </c>
      <c r="H139" s="28">
        <f>ROUND((H140/P162),4)</f>
        <v>1.1999999999999999E-3</v>
      </c>
      <c r="I139" s="28">
        <f>ROUND((I140/P162),4)</f>
        <v>5.9999999999999995E-4</v>
      </c>
      <c r="J139" s="28"/>
      <c r="K139" s="28"/>
      <c r="L139" s="28"/>
      <c r="M139" s="28"/>
      <c r="N139" s="28"/>
      <c r="O139" s="28"/>
      <c r="P139" s="33">
        <f>ROUND(SUM(D139:O139),4)</f>
        <v>2.5999999999999999E-3</v>
      </c>
      <c r="Q139" s="24"/>
    </row>
    <row r="140" spans="1:17" ht="15" customHeight="1" x14ac:dyDescent="0.2">
      <c r="A140" s="94"/>
      <c r="B140" s="40"/>
      <c r="C140" s="42"/>
      <c r="D140" s="29"/>
      <c r="E140" s="29"/>
      <c r="F140" s="29"/>
      <c r="G140" s="29">
        <f>ROUND((P140*0.3),2)</f>
        <v>2142.11</v>
      </c>
      <c r="H140" s="29">
        <f>ROUND((P140*0.45),2)</f>
        <v>3213.17</v>
      </c>
      <c r="I140" s="29">
        <f>ROUND((P140-G140-H140),2)</f>
        <v>1785.09</v>
      </c>
      <c r="J140" s="29"/>
      <c r="K140" s="29"/>
      <c r="L140" s="29"/>
      <c r="M140" s="29"/>
      <c r="N140" s="29"/>
      <c r="O140" s="29"/>
      <c r="P140" s="34">
        <f>ROUND((5638.77+(5638.77*0.2663)),2)</f>
        <v>7140.37</v>
      </c>
      <c r="Q140" s="24"/>
    </row>
    <row r="141" spans="1:17" ht="15" customHeight="1" x14ac:dyDescent="0.2">
      <c r="A141" s="94"/>
      <c r="B141" s="39" t="s">
        <v>24</v>
      </c>
      <c r="C141" s="41" t="s">
        <v>73</v>
      </c>
      <c r="D141" s="28"/>
      <c r="E141" s="28"/>
      <c r="F141" s="28"/>
      <c r="G141" s="28"/>
      <c r="H141" s="28"/>
      <c r="I141" s="28"/>
      <c r="J141" s="28">
        <f>ROUND((J142/P162),4)</f>
        <v>1E-4</v>
      </c>
      <c r="K141" s="28"/>
      <c r="L141" s="28"/>
      <c r="M141" s="28"/>
      <c r="N141" s="28"/>
      <c r="O141" s="28"/>
      <c r="P141" s="33">
        <f>ROUND(SUM(D141:O141),4)</f>
        <v>1E-4</v>
      </c>
      <c r="Q141" s="24"/>
    </row>
    <row r="142" spans="1:17" ht="15" customHeight="1" x14ac:dyDescent="0.2">
      <c r="A142" s="94"/>
      <c r="B142" s="40"/>
      <c r="C142" s="42"/>
      <c r="D142" s="29"/>
      <c r="E142" s="29"/>
      <c r="F142" s="29"/>
      <c r="G142" s="29"/>
      <c r="H142" s="29"/>
      <c r="I142" s="29"/>
      <c r="J142" s="29">
        <f>ROUND((P142),2)</f>
        <v>397.06</v>
      </c>
      <c r="K142" s="29"/>
      <c r="L142" s="29"/>
      <c r="M142" s="29"/>
      <c r="N142" s="29"/>
      <c r="O142" s="29"/>
      <c r="P142" s="34">
        <f>ROUND((313.56+(313.56*0.2663)),2)</f>
        <v>397.06</v>
      </c>
      <c r="Q142" s="24"/>
    </row>
    <row r="143" spans="1:17" ht="15" customHeight="1" x14ac:dyDescent="0.2">
      <c r="A143" s="94"/>
      <c r="B143" s="39" t="s">
        <v>25</v>
      </c>
      <c r="C143" s="41" t="s">
        <v>62</v>
      </c>
      <c r="D143" s="28"/>
      <c r="E143" s="28"/>
      <c r="F143" s="28"/>
      <c r="G143" s="28"/>
      <c r="H143" s="28"/>
      <c r="I143" s="28"/>
      <c r="J143" s="28">
        <f>ROUND((J144/P162),4)</f>
        <v>4.0000000000000002E-4</v>
      </c>
      <c r="K143" s="28"/>
      <c r="L143" s="28"/>
      <c r="M143" s="28"/>
      <c r="N143" s="28"/>
      <c r="O143" s="28"/>
      <c r="P143" s="33">
        <f>ROUND(SUM(D143:O143),4)</f>
        <v>4.0000000000000002E-4</v>
      </c>
      <c r="Q143" s="24"/>
    </row>
    <row r="144" spans="1:17" ht="15" customHeight="1" x14ac:dyDescent="0.2">
      <c r="A144" s="94"/>
      <c r="B144" s="40"/>
      <c r="C144" s="42"/>
      <c r="D144" s="29"/>
      <c r="E144" s="29"/>
      <c r="F144" s="29"/>
      <c r="G144" s="29"/>
      <c r="H144" s="29"/>
      <c r="I144" s="29"/>
      <c r="J144" s="29">
        <f>ROUND((P144),2)</f>
        <v>1035.8699999999999</v>
      </c>
      <c r="K144" s="29"/>
      <c r="L144" s="29"/>
      <c r="M144" s="29"/>
      <c r="N144" s="29"/>
      <c r="O144" s="29"/>
      <c r="P144" s="34">
        <f>ROUND((818.03+(818.03*0.2663)),2)</f>
        <v>1035.8699999999999</v>
      </c>
      <c r="Q144" s="24"/>
    </row>
    <row r="145" spans="1:17" ht="15" customHeight="1" x14ac:dyDescent="0.2">
      <c r="A145" s="86" t="s">
        <v>49</v>
      </c>
      <c r="B145" s="39" t="s">
        <v>44</v>
      </c>
      <c r="C145" s="41" t="s">
        <v>82</v>
      </c>
      <c r="D145" s="28">
        <f>ROUND((D146/P162),4)</f>
        <v>8.0000000000000004E-4</v>
      </c>
      <c r="E145" s="28">
        <f>ROUND((E146/P162),4)</f>
        <v>4.0000000000000002E-4</v>
      </c>
      <c r="F145" s="28">
        <f>ROUND((F146/P162),4)</f>
        <v>2.9999999999999997E-4</v>
      </c>
      <c r="G145" s="28">
        <f>ROUND((G146/P162),4)</f>
        <v>2.9999999999999997E-4</v>
      </c>
      <c r="H145" s="28">
        <f>ROUND((H146/P162),4)</f>
        <v>2.9999999999999997E-4</v>
      </c>
      <c r="I145" s="28">
        <f>ROUND((I146/P162),4)</f>
        <v>2.9999999999999997E-4</v>
      </c>
      <c r="J145" s="28">
        <f>ROUND((J146/P162),4)</f>
        <v>2.9999999999999997E-4</v>
      </c>
      <c r="K145" s="28">
        <f>ROUND((K146/P162),4)</f>
        <v>2.9999999999999997E-4</v>
      </c>
      <c r="L145" s="28">
        <f>ROUND((L146/P162),4)</f>
        <v>2.9999999999999997E-4</v>
      </c>
      <c r="M145" s="28">
        <f>ROUND((M146/P162),4)</f>
        <v>2.9999999999999997E-4</v>
      </c>
      <c r="N145" s="28">
        <f>ROUND((N146/P162),4)</f>
        <v>2.0000000000000001E-4</v>
      </c>
      <c r="O145" s="28">
        <f>ROUND((O146/P162),4)</f>
        <v>1E-4</v>
      </c>
      <c r="P145" s="33">
        <f>ROUND(SUM(D145:O145),4)</f>
        <v>3.8999999999999998E-3</v>
      </c>
      <c r="Q145" s="24"/>
    </row>
    <row r="146" spans="1:17" ht="15" customHeight="1" x14ac:dyDescent="0.2">
      <c r="A146" s="87"/>
      <c r="B146" s="40"/>
      <c r="C146" s="42"/>
      <c r="D146" s="29">
        <f>ROUND((P146*0.2),2)</f>
        <v>2106.1999999999998</v>
      </c>
      <c r="E146" s="29">
        <f>ROUND((P146*0.1),2)</f>
        <v>1053.0999999999999</v>
      </c>
      <c r="F146" s="29">
        <f>ROUND((P146*0.08),2)</f>
        <v>842.48</v>
      </c>
      <c r="G146" s="29">
        <f>ROUND((P146*0.08),2)</f>
        <v>842.48</v>
      </c>
      <c r="H146" s="29">
        <f>ROUND((P146*0.08),2)</f>
        <v>842.48</v>
      </c>
      <c r="I146" s="29">
        <f>ROUND((P146*0.08),2)</f>
        <v>842.48</v>
      </c>
      <c r="J146" s="29">
        <f>ROUND((P146*0.08),2)</f>
        <v>842.48</v>
      </c>
      <c r="K146" s="29">
        <f>ROUND((P146*0.08),2)</f>
        <v>842.48</v>
      </c>
      <c r="L146" s="29">
        <f>ROUND((P146*0.08),2)</f>
        <v>842.48</v>
      </c>
      <c r="M146" s="29">
        <f>ROUND((P146*0.08),2)</f>
        <v>842.48</v>
      </c>
      <c r="N146" s="29">
        <f>ROUND((P146*0.04),2)</f>
        <v>421.24</v>
      </c>
      <c r="O146" s="29">
        <f>ROUND((P146-D146-E146-F146-G146-H146-I146-J146-K146-L146-M146-N146),2)</f>
        <v>210.63</v>
      </c>
      <c r="P146" s="34">
        <f>ROUND((8316.36+(8316.36*0.2663)),2)</f>
        <v>10531.01</v>
      </c>
      <c r="Q146" s="24"/>
    </row>
    <row r="147" spans="1:17" ht="15" customHeight="1" x14ac:dyDescent="0.2">
      <c r="A147" s="87"/>
      <c r="B147" s="39" t="s">
        <v>11</v>
      </c>
      <c r="C147" s="41" t="s">
        <v>83</v>
      </c>
      <c r="D147" s="28">
        <f>ROUND((D148/P162),4)</f>
        <v>1.5E-3</v>
      </c>
      <c r="E147" s="28">
        <f>ROUND((E148/P162),4)</f>
        <v>1.5E-3</v>
      </c>
      <c r="F147" s="28">
        <f>ROUND((F148/P162),4)</f>
        <v>1.1999999999999999E-3</v>
      </c>
      <c r="G147" s="28">
        <f>ROUND((G148/P162),4)</f>
        <v>1.1999999999999999E-3</v>
      </c>
      <c r="H147" s="28">
        <f>ROUND((H148/P162),4)</f>
        <v>1.1999999999999999E-3</v>
      </c>
      <c r="I147" s="28">
        <f>ROUND((I148/P162),4)</f>
        <v>1.1999999999999999E-3</v>
      </c>
      <c r="J147" s="28">
        <f>ROUND((J148/P162),4)</f>
        <v>1.1999999999999999E-3</v>
      </c>
      <c r="K147" s="28">
        <f>ROUND((K148/P162),4)</f>
        <v>1.1999999999999999E-3</v>
      </c>
      <c r="L147" s="28">
        <f>ROUND((L148/P162),4)</f>
        <v>1.1999999999999999E-3</v>
      </c>
      <c r="M147" s="28">
        <f>ROUND((M148/P162),4)</f>
        <v>1.1999999999999999E-3</v>
      </c>
      <c r="N147" s="28">
        <f>ROUND((N148/P162),4)</f>
        <v>1.1999999999999999E-3</v>
      </c>
      <c r="O147" s="28">
        <f>ROUND((O148/P162),4)</f>
        <v>1.1999999999999999E-3</v>
      </c>
      <c r="P147" s="33">
        <f>ROUND(SUM(D147:O147),4)</f>
        <v>1.4999999999999999E-2</v>
      </c>
      <c r="Q147" s="24"/>
    </row>
    <row r="148" spans="1:17" ht="15" customHeight="1" x14ac:dyDescent="0.2">
      <c r="A148" s="87"/>
      <c r="B148" s="40"/>
      <c r="C148" s="42"/>
      <c r="D148" s="29">
        <f>ROUND((P148*0.1),2)</f>
        <v>4121.29</v>
      </c>
      <c r="E148" s="29">
        <f>ROUND((P148*0.1),2)</f>
        <v>4121.29</v>
      </c>
      <c r="F148" s="29">
        <f>ROUND((P148*0.08),2)</f>
        <v>3297.03</v>
      </c>
      <c r="G148" s="29">
        <f>ROUND((P148*0.08),2)</f>
        <v>3297.03</v>
      </c>
      <c r="H148" s="29">
        <f>ROUND((P148*0.08),2)</f>
        <v>3297.03</v>
      </c>
      <c r="I148" s="29">
        <f>ROUND((P148*0.08),2)</f>
        <v>3297.03</v>
      </c>
      <c r="J148" s="29">
        <f>ROUND((P148*0.08),2)</f>
        <v>3297.03</v>
      </c>
      <c r="K148" s="29">
        <f>ROUND((P148*0.08),2)</f>
        <v>3297.03</v>
      </c>
      <c r="L148" s="29">
        <f>ROUND((P148*0.08),2)</f>
        <v>3297.03</v>
      </c>
      <c r="M148" s="29">
        <f>ROUND((P148*0.08),2)</f>
        <v>3297.03</v>
      </c>
      <c r="N148" s="29">
        <f>ROUND((P148*0.08),2)</f>
        <v>3297.03</v>
      </c>
      <c r="O148" s="29">
        <f>ROUND((P148-D148-E148-F148-G148-H148-I148-J148-K148-L148-M148-N148),2)</f>
        <v>3297.07</v>
      </c>
      <c r="P148" s="34">
        <f>ROUND((32545.94+(32545.94*0.2663)),2)</f>
        <v>41212.92</v>
      </c>
      <c r="Q148" s="24"/>
    </row>
    <row r="149" spans="1:17" ht="15" customHeight="1" x14ac:dyDescent="0.2">
      <c r="A149" s="87"/>
      <c r="B149" s="39" t="s">
        <v>12</v>
      </c>
      <c r="C149" s="41" t="s">
        <v>84</v>
      </c>
      <c r="D149" s="28">
        <f>ROUND((D150/P162),4)</f>
        <v>1.1999999999999999E-3</v>
      </c>
      <c r="E149" s="28">
        <f>ROUND((E150/P162),4)</f>
        <v>1.1999999999999999E-3</v>
      </c>
      <c r="F149" s="28">
        <f>ROUND((F150/P162),4)</f>
        <v>8.9999999999999998E-4</v>
      </c>
      <c r="G149" s="28">
        <f>ROUND((G150/P162),4)</f>
        <v>8.9999999999999998E-4</v>
      </c>
      <c r="H149" s="28">
        <f>ROUND((H150/P162),4)</f>
        <v>8.9999999999999998E-4</v>
      </c>
      <c r="I149" s="28">
        <f>ROUND((I150/P162),4)</f>
        <v>8.9999999999999998E-4</v>
      </c>
      <c r="J149" s="28">
        <f>ROUND((J150/P162),4)</f>
        <v>8.9999999999999998E-4</v>
      </c>
      <c r="K149" s="28">
        <f>ROUND((K150/P162),4)</f>
        <v>8.9999999999999998E-4</v>
      </c>
      <c r="L149" s="28">
        <f>ROUND((L150/P162),4)</f>
        <v>8.9999999999999998E-4</v>
      </c>
      <c r="M149" s="28">
        <f>ROUND((M150/P162),4)</f>
        <v>8.9999999999999998E-4</v>
      </c>
      <c r="N149" s="28">
        <f>ROUND((N150/P162),4)</f>
        <v>8.9999999999999998E-4</v>
      </c>
      <c r="O149" s="28">
        <f>ROUND((O150/P162),4)</f>
        <v>8.9999999999999998E-4</v>
      </c>
      <c r="P149" s="33">
        <f>ROUND(SUM(D149:O149),4)</f>
        <v>1.14E-2</v>
      </c>
      <c r="Q149" s="24"/>
    </row>
    <row r="150" spans="1:17" ht="15" customHeight="1" x14ac:dyDescent="0.2">
      <c r="A150" s="87"/>
      <c r="B150" s="40"/>
      <c r="C150" s="42"/>
      <c r="D150" s="29">
        <f>ROUND((P150*0.1),2)</f>
        <v>3241.44</v>
      </c>
      <c r="E150" s="29">
        <f>ROUND((P150*0.1),2)</f>
        <v>3241.44</v>
      </c>
      <c r="F150" s="29">
        <f>ROUND((P150*0.08),2)</f>
        <v>2593.15</v>
      </c>
      <c r="G150" s="29">
        <f>ROUND((P150*0.08),2)</f>
        <v>2593.15</v>
      </c>
      <c r="H150" s="29">
        <f>ROUND((P150*0.08),2)</f>
        <v>2593.15</v>
      </c>
      <c r="I150" s="29">
        <f>ROUND((P150*0.08),2)</f>
        <v>2593.15</v>
      </c>
      <c r="J150" s="29">
        <f>ROUND((P150*0.08),2)</f>
        <v>2593.15</v>
      </c>
      <c r="K150" s="29">
        <f>ROUND((P150*0.08),2)</f>
        <v>2593.15</v>
      </c>
      <c r="L150" s="29">
        <f>ROUND((P150*0.08),2)</f>
        <v>2593.15</v>
      </c>
      <c r="M150" s="29">
        <f>ROUND((P150*0.08),2)</f>
        <v>2593.15</v>
      </c>
      <c r="N150" s="29">
        <f>ROUND((P150*0.08),2)</f>
        <v>2593.15</v>
      </c>
      <c r="O150" s="29">
        <f>ROUND((P150*0.08),2)</f>
        <v>2593.15</v>
      </c>
      <c r="P150" s="34">
        <f>ROUND((25597.74+(25597.74*0.2663)),2)</f>
        <v>32414.42</v>
      </c>
      <c r="Q150" s="24"/>
    </row>
    <row r="151" spans="1:17" ht="15" customHeight="1" x14ac:dyDescent="0.2">
      <c r="A151" s="87"/>
      <c r="B151" s="39" t="s">
        <v>13</v>
      </c>
      <c r="C151" s="41" t="s">
        <v>85</v>
      </c>
      <c r="D151" s="28">
        <f>ROUND((D152/P162),4)</f>
        <v>6.6E-3</v>
      </c>
      <c r="E151" s="28">
        <f>ROUND((E152/P162),4)</f>
        <v>6.6E-3</v>
      </c>
      <c r="F151" s="28">
        <f>ROUND((F152/P162),4)</f>
        <v>6.6E-3</v>
      </c>
      <c r="G151" s="28">
        <f>ROUND((G152/P162),4)</f>
        <v>8.3000000000000001E-3</v>
      </c>
      <c r="H151" s="28">
        <f>ROUND((H152/P162),4)</f>
        <v>6.6E-3</v>
      </c>
      <c r="I151" s="28">
        <f>ROUND((I152/P162),4)</f>
        <v>6.6E-3</v>
      </c>
      <c r="J151" s="28">
        <f>ROUND((J152/P162),4)</f>
        <v>8.3000000000000001E-3</v>
      </c>
      <c r="K151" s="28">
        <f>ROUND((K152/P162),4)</f>
        <v>6.6E-3</v>
      </c>
      <c r="L151" s="28">
        <f>ROUND((L152/P162),4)</f>
        <v>6.6E-3</v>
      </c>
      <c r="M151" s="28">
        <f>ROUND((M152/P162),4)</f>
        <v>6.6E-3</v>
      </c>
      <c r="N151" s="28">
        <f>ROUND((N152/P162),4)</f>
        <v>6.6E-3</v>
      </c>
      <c r="O151" s="28">
        <f>ROUND((O152/P162),4)</f>
        <v>6.6E-3</v>
      </c>
      <c r="P151" s="33">
        <f>ROUND(SUM(D151:O151),4)</f>
        <v>8.2600000000000007E-2</v>
      </c>
      <c r="Q151" s="24"/>
    </row>
    <row r="152" spans="1:17" ht="15" customHeight="1" x14ac:dyDescent="0.2">
      <c r="A152" s="87"/>
      <c r="B152" s="40"/>
      <c r="C152" s="42"/>
      <c r="D152" s="29">
        <f>ROUND((P152*0.08),2)</f>
        <v>18427.259999999998</v>
      </c>
      <c r="E152" s="29">
        <f>ROUND((P152*0.08),2)</f>
        <v>18427.259999999998</v>
      </c>
      <c r="F152" s="29">
        <f>ROUND((P152*0.08),2)</f>
        <v>18427.259999999998</v>
      </c>
      <c r="G152" s="29">
        <f>ROUND((P152*0.1),2)</f>
        <v>23034.07</v>
      </c>
      <c r="H152" s="29">
        <f>ROUND((P152*0.08),2)</f>
        <v>18427.259999999998</v>
      </c>
      <c r="I152" s="29">
        <f>ROUND((P152*0.08),2)</f>
        <v>18427.259999999998</v>
      </c>
      <c r="J152" s="29">
        <f>ROUND((P152*0.1),2)</f>
        <v>23034.07</v>
      </c>
      <c r="K152" s="29">
        <f>ROUND((P152*0.08),2)</f>
        <v>18427.259999999998</v>
      </c>
      <c r="L152" s="29">
        <f>ROUND((P152*0.08),2)</f>
        <v>18427.259999999998</v>
      </c>
      <c r="M152" s="29">
        <f>ROUND((P152*0.08),2)</f>
        <v>18427.259999999998</v>
      </c>
      <c r="N152" s="29">
        <f>ROUND((P152*0.08),2)</f>
        <v>18427.259999999998</v>
      </c>
      <c r="O152" s="29">
        <f>ROUND((P152-D152-E152-F152-G152-H152-I152-J152-K152-L152-M152-N152),2)</f>
        <v>18427.22</v>
      </c>
      <c r="P152" s="34">
        <f>ROUND((181900.58+(181900.58*0.2663)),2)</f>
        <v>230340.7</v>
      </c>
      <c r="Q152" s="24"/>
    </row>
    <row r="153" spans="1:17" ht="15" customHeight="1" x14ac:dyDescent="0.2">
      <c r="A153" s="87"/>
      <c r="B153" s="39" t="s">
        <v>14</v>
      </c>
      <c r="C153" s="41" t="s">
        <v>86</v>
      </c>
      <c r="D153" s="28">
        <f>ROUND((D154/P162),4)</f>
        <v>2.0000000000000001E-4</v>
      </c>
      <c r="E153" s="28">
        <f>ROUND((E154/P162),4)</f>
        <v>2.0000000000000001E-4</v>
      </c>
      <c r="F153" s="28">
        <f>ROUND((F154/P162),4)</f>
        <v>2.0000000000000001E-4</v>
      </c>
      <c r="G153" s="28">
        <f>ROUND((G154/P162),4)</f>
        <v>2.0000000000000001E-4</v>
      </c>
      <c r="H153" s="28">
        <f>ROUND((H154/P162),4)</f>
        <v>2.0000000000000001E-4</v>
      </c>
      <c r="I153" s="28">
        <f>ROUND((I154/P162),4)</f>
        <v>2.0000000000000001E-4</v>
      </c>
      <c r="J153" s="28">
        <f>ROUND((J154/P162),4)</f>
        <v>2.0000000000000001E-4</v>
      </c>
      <c r="K153" s="28">
        <f>ROUND((K154/P162),4)</f>
        <v>2.0000000000000001E-4</v>
      </c>
      <c r="L153" s="28">
        <f>ROUND((L154/P162),4)</f>
        <v>2.0000000000000001E-4</v>
      </c>
      <c r="M153" s="28">
        <f>ROUND((M154/P162),4)</f>
        <v>2.0000000000000001E-4</v>
      </c>
      <c r="N153" s="28">
        <f>ROUND((N154/P162),4)</f>
        <v>2.0000000000000001E-4</v>
      </c>
      <c r="O153" s="28">
        <f>ROUND((O154/P162),4)</f>
        <v>2.0000000000000001E-4</v>
      </c>
      <c r="P153" s="33">
        <f>ROUND(SUM(D153:O153),4)</f>
        <v>2.3999999999999998E-3</v>
      </c>
      <c r="Q153" s="24"/>
    </row>
    <row r="154" spans="1:17" ht="15" customHeight="1" x14ac:dyDescent="0.2">
      <c r="A154" s="87"/>
      <c r="B154" s="40"/>
      <c r="C154" s="42"/>
      <c r="D154" s="29">
        <f>ROUND((P154*0.08),2)</f>
        <v>474.68</v>
      </c>
      <c r="E154" s="29">
        <f>ROUND((P154*0.08),2)</f>
        <v>474.68</v>
      </c>
      <c r="F154" s="29">
        <f>ROUND((P154*0.08),2)</f>
        <v>474.68</v>
      </c>
      <c r="G154" s="29">
        <f>ROUND((P154*0.08),2)</f>
        <v>474.68</v>
      </c>
      <c r="H154" s="29">
        <f>ROUND((P154*0.08),2)</f>
        <v>474.68</v>
      </c>
      <c r="I154" s="29">
        <f>ROUND((P154*0.1),2)</f>
        <v>593.35</v>
      </c>
      <c r="J154" s="29">
        <f>ROUND((P154*0.08),2)</f>
        <v>474.68</v>
      </c>
      <c r="K154" s="29">
        <f>ROUND((P154*0.08),2)</f>
        <v>474.68</v>
      </c>
      <c r="L154" s="29">
        <f>ROUND((P154*0.1),2)</f>
        <v>593.35</v>
      </c>
      <c r="M154" s="29">
        <f>ROUND((P154*0.08),2)</f>
        <v>474.68</v>
      </c>
      <c r="N154" s="29">
        <f>ROUND((P154*0.08),2)</f>
        <v>474.68</v>
      </c>
      <c r="O154" s="29">
        <f>ROUND((P154-D154-E154-F154-G154-H154-I154-J154-K154-L154-M154-N154),2)</f>
        <v>474.67</v>
      </c>
      <c r="P154" s="34">
        <f>ROUND((4685.69+(4685.69*0.2663)),2)</f>
        <v>5933.49</v>
      </c>
      <c r="Q154" s="24"/>
    </row>
    <row r="155" spans="1:17" ht="15" customHeight="1" x14ac:dyDescent="0.2">
      <c r="A155" s="87"/>
      <c r="B155" s="39" t="s">
        <v>15</v>
      </c>
      <c r="C155" s="41" t="s">
        <v>87</v>
      </c>
      <c r="D155" s="28">
        <f>ROUND((D156/P162),4)</f>
        <v>1.2999999999999999E-3</v>
      </c>
      <c r="E155" s="28">
        <f>ROUND((E156/P162),4)</f>
        <v>1.2999999999999999E-3</v>
      </c>
      <c r="F155" s="28">
        <f>ROUND((F156/P162),4)</f>
        <v>1.2999999999999999E-3</v>
      </c>
      <c r="G155" s="28">
        <f>ROUND((G156/P162),4)</f>
        <v>1.2999999999999999E-3</v>
      </c>
      <c r="H155" s="28">
        <f>ROUND((H156/P162),4)</f>
        <v>1.2999999999999999E-3</v>
      </c>
      <c r="I155" s="28">
        <f>ROUND((I156/P162),4)</f>
        <v>1.2999999999999999E-3</v>
      </c>
      <c r="J155" s="28">
        <f>ROUND((J156/P162),4)</f>
        <v>1.6000000000000001E-3</v>
      </c>
      <c r="K155" s="28">
        <f>ROUND((K156/P162),4)</f>
        <v>1.2999999999999999E-3</v>
      </c>
      <c r="L155" s="28">
        <f>ROUND((L156/P162),4)</f>
        <v>1.2999999999999999E-3</v>
      </c>
      <c r="M155" s="28">
        <f>ROUND((M156/P162),4)</f>
        <v>1.6000000000000001E-3</v>
      </c>
      <c r="N155" s="28">
        <f>ROUND((N156/P162),4)</f>
        <v>1.2999999999999999E-3</v>
      </c>
      <c r="O155" s="28">
        <f>ROUND((O156/P162),4)</f>
        <v>1.2999999999999999E-3</v>
      </c>
      <c r="P155" s="33">
        <f>ROUND(SUM(D155:O155),4)</f>
        <v>1.6199999999999999E-2</v>
      </c>
      <c r="Q155" s="24"/>
    </row>
    <row r="156" spans="1:17" ht="15" customHeight="1" x14ac:dyDescent="0.2">
      <c r="A156" s="88"/>
      <c r="B156" s="40"/>
      <c r="C156" s="42"/>
      <c r="D156" s="29">
        <f>ROUND((P156*0.08),2)</f>
        <v>3649.02</v>
      </c>
      <c r="E156" s="29">
        <f>ROUND((P156*0.08),2)</f>
        <v>3649.02</v>
      </c>
      <c r="F156" s="29">
        <f>ROUND((P156*0.08),2)</f>
        <v>3649.02</v>
      </c>
      <c r="G156" s="29">
        <f>ROUND((P156*0.08),2)</f>
        <v>3649.02</v>
      </c>
      <c r="H156" s="29">
        <f>ROUND((P156*0.08),2)</f>
        <v>3649.02</v>
      </c>
      <c r="I156" s="29">
        <f>ROUND((P156*0.08),2)</f>
        <v>3649.02</v>
      </c>
      <c r="J156" s="29">
        <f>ROUND((P156*0.1),2)</f>
        <v>4561.28</v>
      </c>
      <c r="K156" s="29">
        <f>ROUND((P156*0.08),2)</f>
        <v>3649.02</v>
      </c>
      <c r="L156" s="29">
        <f>ROUND((P156*0.08),2)</f>
        <v>3649.02</v>
      </c>
      <c r="M156" s="29">
        <f>ROUND((P156*0.1),2)</f>
        <v>4561.28</v>
      </c>
      <c r="N156" s="29">
        <f>ROUND((P156*0.08),2)</f>
        <v>3649.02</v>
      </c>
      <c r="O156" s="29">
        <f>ROUND((P156-D156-E156-F156-G156-H156-I156-J156-K156-L156-M156-N156),2)</f>
        <v>3649.06</v>
      </c>
      <c r="P156" s="34">
        <f>ROUND((40923.39+(17609.5*0.2663)),2)</f>
        <v>45612.800000000003</v>
      </c>
      <c r="Q156" s="24"/>
    </row>
    <row r="157" spans="1:17" ht="15" customHeight="1" x14ac:dyDescent="0.2">
      <c r="A157" s="86" t="s">
        <v>50</v>
      </c>
      <c r="B157" s="39" t="s">
        <v>44</v>
      </c>
      <c r="C157" s="41" t="s">
        <v>89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>
        <f>ROUND((N158/P162),4)</f>
        <v>1.9E-3</v>
      </c>
      <c r="O157" s="28">
        <f>ROUND((O158/P162),4)</f>
        <v>1.2999999999999999E-3</v>
      </c>
      <c r="P157" s="33">
        <f>ROUND(SUM(D157:O157),4)</f>
        <v>3.2000000000000002E-3</v>
      </c>
      <c r="Q157" s="24"/>
    </row>
    <row r="158" spans="1:17" ht="15" customHeight="1" x14ac:dyDescent="0.2">
      <c r="A158" s="88"/>
      <c r="B158" s="40"/>
      <c r="C158" s="42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>
        <f>ROUND((P158*0.6),2)</f>
        <v>5374.14</v>
      </c>
      <c r="O158" s="29">
        <f>ROUND((P158-N158),2)</f>
        <v>3582.76</v>
      </c>
      <c r="P158" s="34">
        <f>ROUND((8143.45+813.45),2)</f>
        <v>8956.9</v>
      </c>
      <c r="Q158" s="24"/>
    </row>
    <row r="159" spans="1:17" ht="15" customHeight="1" x14ac:dyDescent="0.2">
      <c r="A159" s="96" t="s">
        <v>91</v>
      </c>
      <c r="B159" s="95" t="s">
        <v>44</v>
      </c>
      <c r="C159" s="41" t="s">
        <v>92</v>
      </c>
      <c r="D159" s="36"/>
      <c r="E159" s="36"/>
      <c r="F159" s="36"/>
      <c r="G159" s="37"/>
      <c r="H159" s="37"/>
      <c r="I159" s="36"/>
      <c r="J159" s="36"/>
      <c r="K159" s="36"/>
      <c r="L159" s="37"/>
      <c r="M159" s="36"/>
      <c r="N159" s="38">
        <f>ROUND((N160/P162),4)</f>
        <v>2.2599999999999999E-2</v>
      </c>
      <c r="O159" s="38">
        <f>ROUND((O160/P162),4)</f>
        <v>3.39E-2</v>
      </c>
      <c r="P159" s="33">
        <f>ROUND(SUM(D159:O159),4)</f>
        <v>5.6500000000000002E-2</v>
      </c>
      <c r="Q159" s="24"/>
    </row>
    <row r="160" spans="1:17" ht="15" customHeight="1" x14ac:dyDescent="0.2">
      <c r="A160" s="96"/>
      <c r="B160" s="95"/>
      <c r="C160" s="97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>
        <f>ROUND((P160*0.4),2)</f>
        <v>62836.92</v>
      </c>
      <c r="O160" s="29">
        <f>ROUND((P160-N160),2)</f>
        <v>94255.38</v>
      </c>
      <c r="P160" s="34">
        <f>ROUND((124056.15+(124056.15*0.2663)),2)</f>
        <v>157092.29999999999</v>
      </c>
      <c r="Q160" s="24"/>
    </row>
    <row r="161" spans="1:16" ht="15.95" customHeight="1" x14ac:dyDescent="0.2">
      <c r="A161" s="57" t="s">
        <v>9</v>
      </c>
      <c r="B161" s="57"/>
      <c r="C161" s="57"/>
      <c r="D161" s="35">
        <f t="shared" ref="D161:O161" si="0">ROUND(D19+D21+D23+D25+D27+D29+D31+D33+D35+D37+D39+D41+D43+D45+D47+D49+D51+D53+D55+D57+D59+D61+D63+D65+D67+D69+D71+D73+D75+D77+D79+D81+D83+D85+D87+D89+D91+D93+D95+D97+D99+D101+D103+D105+D107+D109+D111+D113+D115+D117+D119+D121+D123+D125+D127+D129+D131+D133+D135+D137+D139+D141+D143+D145+D147+D149+D151+D153+D155+D157+D159,4)</f>
        <v>6.5000000000000002E-2</v>
      </c>
      <c r="E161" s="30">
        <f t="shared" si="0"/>
        <v>6.4799999999999996E-2</v>
      </c>
      <c r="F161" s="30">
        <f t="shared" si="0"/>
        <v>0.13439999999999999</v>
      </c>
      <c r="G161" s="30">
        <f t="shared" si="0"/>
        <v>9.5600000000000004E-2</v>
      </c>
      <c r="H161" s="30">
        <f t="shared" si="0"/>
        <v>0.14019999999999999</v>
      </c>
      <c r="I161" s="30">
        <f t="shared" si="0"/>
        <v>0.12429999999999999</v>
      </c>
      <c r="J161" s="30">
        <f t="shared" si="0"/>
        <v>0.1128</v>
      </c>
      <c r="K161" s="30">
        <f t="shared" si="0"/>
        <v>7.7600000000000002E-2</v>
      </c>
      <c r="L161" s="30">
        <f t="shared" si="0"/>
        <v>5.96E-2</v>
      </c>
      <c r="M161" s="30">
        <f t="shared" si="0"/>
        <v>1.9699999999999999E-2</v>
      </c>
      <c r="N161" s="30">
        <f t="shared" si="0"/>
        <v>4.6800000000000001E-2</v>
      </c>
      <c r="O161" s="30">
        <f t="shared" si="0"/>
        <v>5.7799999999999997E-2</v>
      </c>
      <c r="P161" s="19">
        <f>ROUND(SUM(D161:O161),2)</f>
        <v>1</v>
      </c>
    </row>
    <row r="162" spans="1:16" ht="15.95" customHeight="1" x14ac:dyDescent="0.2">
      <c r="A162" s="58" t="s">
        <v>10</v>
      </c>
      <c r="B162" s="59"/>
      <c r="C162" s="60"/>
      <c r="D162" s="31">
        <f t="shared" ref="D162:O162" si="1">ROUND((D20+D22+D24+D26+D28+D30+D32+D34+D36+D38+D40+D42+D44+D46+D48+D50+D52+D54+D56+D58+D60+D62+D64+D66+D68+D70+D72+D74+D76+D78+D80+D82+D84+D86+D88+D90+D92+D94+D96+D98+D100+D102+D104+D106+D108+D110+D112+D114+D116+D118+D120+D122+D124+D126+D128+D130+D132+D134+D136+D138+D140+D142+D144+D146+D148+D150+D152+D154+D156+D158+D160),2)</f>
        <v>180877.31</v>
      </c>
      <c r="E162" s="31">
        <f t="shared" si="1"/>
        <v>180557.54</v>
      </c>
      <c r="F162" s="31">
        <f t="shared" si="1"/>
        <v>374376.17</v>
      </c>
      <c r="G162" s="31">
        <f t="shared" si="1"/>
        <v>265893.05</v>
      </c>
      <c r="H162" s="31">
        <f t="shared" si="1"/>
        <v>390139.19</v>
      </c>
      <c r="I162" s="31">
        <f t="shared" si="1"/>
        <v>345958.08</v>
      </c>
      <c r="J162" s="31">
        <f t="shared" si="1"/>
        <v>313594.44</v>
      </c>
      <c r="K162" s="31">
        <f t="shared" si="1"/>
        <v>215816.51</v>
      </c>
      <c r="L162" s="31">
        <f t="shared" si="1"/>
        <v>166227.54</v>
      </c>
      <c r="M162" s="31">
        <f t="shared" si="1"/>
        <v>54817</v>
      </c>
      <c r="N162" s="31">
        <f t="shared" si="1"/>
        <v>130150.24</v>
      </c>
      <c r="O162" s="31">
        <f t="shared" si="1"/>
        <v>160541.38</v>
      </c>
      <c r="P162" s="6">
        <f>ROUND(SUM(D162:O162),2)</f>
        <v>2778948.45</v>
      </c>
    </row>
    <row r="163" spans="1:16" ht="5.0999999999999996" customHeight="1" x14ac:dyDescent="0.2">
      <c r="A163" s="61"/>
      <c r="B163" s="62"/>
      <c r="C163" s="63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7"/>
    </row>
    <row r="164" spans="1:16" ht="31.5" customHeight="1" x14ac:dyDescent="0.2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3"/>
    </row>
    <row r="165" spans="1:16" ht="15" customHeight="1" x14ac:dyDescent="0.2">
      <c r="A165" s="14"/>
      <c r="B165" s="15"/>
      <c r="C165" s="15"/>
      <c r="D165" s="15"/>
      <c r="E165" s="15"/>
      <c r="F165" s="15"/>
      <c r="G165" s="15"/>
      <c r="H165" s="15"/>
      <c r="I165" s="15"/>
      <c r="J165" s="52" t="s">
        <v>36</v>
      </c>
      <c r="K165" s="52"/>
      <c r="L165" s="52"/>
      <c r="M165" s="52"/>
      <c r="N165" s="21"/>
      <c r="O165" s="21"/>
      <c r="P165" s="16"/>
    </row>
    <row r="166" spans="1:16" ht="15" customHeight="1" x14ac:dyDescent="0.2">
      <c r="A166" s="14"/>
      <c r="B166" s="15"/>
      <c r="C166" s="15"/>
      <c r="D166" s="15"/>
      <c r="E166" s="15"/>
      <c r="F166" s="15"/>
      <c r="G166" s="15"/>
      <c r="H166" s="15"/>
      <c r="I166" s="15"/>
      <c r="J166" s="54" t="s">
        <v>33</v>
      </c>
      <c r="K166" s="54"/>
      <c r="L166" s="54"/>
      <c r="M166" s="54"/>
      <c r="N166" s="21"/>
      <c r="O166" s="21"/>
      <c r="P166" s="16"/>
    </row>
    <row r="167" spans="1:16" ht="15" customHeight="1" x14ac:dyDescent="0.2">
      <c r="A167" s="8"/>
      <c r="B167" s="9"/>
      <c r="C167" s="9"/>
      <c r="D167" s="9"/>
      <c r="E167" s="9"/>
      <c r="F167" s="9"/>
      <c r="G167" s="9"/>
      <c r="H167" s="9"/>
      <c r="I167" s="9"/>
      <c r="J167" s="53" t="s">
        <v>90</v>
      </c>
      <c r="K167" s="53"/>
      <c r="L167" s="53"/>
      <c r="M167" s="53"/>
      <c r="N167" s="20"/>
      <c r="O167" s="20"/>
      <c r="P167" s="10"/>
    </row>
    <row r="168" spans="1:16" ht="15" customHeight="1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18"/>
      <c r="K168" s="18"/>
      <c r="L168" s="18"/>
      <c r="M168" s="18"/>
      <c r="N168" s="18"/>
      <c r="O168" s="18"/>
      <c r="P168" s="17"/>
    </row>
    <row r="169" spans="1:16" ht="15" customHeight="1" x14ac:dyDescent="0.2">
      <c r="A169" s="17"/>
      <c r="B169" s="17"/>
      <c r="C169" s="17"/>
      <c r="D169" s="17"/>
      <c r="E169" s="17"/>
      <c r="F169" s="17"/>
      <c r="G169" s="17"/>
      <c r="H169" s="17"/>
      <c r="I169" s="17"/>
      <c r="J169" s="18"/>
      <c r="K169" s="18"/>
      <c r="L169" s="18"/>
      <c r="M169" s="18"/>
      <c r="N169" s="18"/>
      <c r="O169" s="18"/>
      <c r="P169" s="17"/>
    </row>
  </sheetData>
  <mergeCells count="167">
    <mergeCell ref="B159:B160"/>
    <mergeCell ref="A159:A160"/>
    <mergeCell ref="C159:C160"/>
    <mergeCell ref="B153:B154"/>
    <mergeCell ref="B155:B156"/>
    <mergeCell ref="B157:B158"/>
    <mergeCell ref="A157:A158"/>
    <mergeCell ref="B147:B148"/>
    <mergeCell ref="C153:C154"/>
    <mergeCell ref="C155:C156"/>
    <mergeCell ref="C157:C158"/>
    <mergeCell ref="B151:B152"/>
    <mergeCell ref="A145:A156"/>
    <mergeCell ref="C147:C148"/>
    <mergeCell ref="C149:C150"/>
    <mergeCell ref="C151:C152"/>
    <mergeCell ref="B105:B106"/>
    <mergeCell ref="B107:B108"/>
    <mergeCell ref="B91:B92"/>
    <mergeCell ref="B93:B94"/>
    <mergeCell ref="B95:B96"/>
    <mergeCell ref="B97:B98"/>
    <mergeCell ref="A79:A112"/>
    <mergeCell ref="A113:A144"/>
    <mergeCell ref="B149:B150"/>
    <mergeCell ref="B119:B120"/>
    <mergeCell ref="B121:B122"/>
    <mergeCell ref="B123:B124"/>
    <mergeCell ref="B125:B126"/>
    <mergeCell ref="B127:B128"/>
    <mergeCell ref="B109:B110"/>
    <mergeCell ref="B111:B112"/>
    <mergeCell ref="B113:B114"/>
    <mergeCell ref="B115:B116"/>
    <mergeCell ref="B117:B118"/>
    <mergeCell ref="B139:B140"/>
    <mergeCell ref="B141:B142"/>
    <mergeCell ref="B143:B144"/>
    <mergeCell ref="B145:B146"/>
    <mergeCell ref="B129:B130"/>
    <mergeCell ref="B67:B68"/>
    <mergeCell ref="B69:B70"/>
    <mergeCell ref="B57:B58"/>
    <mergeCell ref="B59:B60"/>
    <mergeCell ref="B51:B52"/>
    <mergeCell ref="B53:B54"/>
    <mergeCell ref="B99:B100"/>
    <mergeCell ref="B101:B102"/>
    <mergeCell ref="B103:B104"/>
    <mergeCell ref="B81:B82"/>
    <mergeCell ref="B83:B84"/>
    <mergeCell ref="B85:B86"/>
    <mergeCell ref="B87:B88"/>
    <mergeCell ref="B89:B90"/>
    <mergeCell ref="B71:B72"/>
    <mergeCell ref="B73:B74"/>
    <mergeCell ref="B75:B76"/>
    <mergeCell ref="B77:B78"/>
    <mergeCell ref="B79:B80"/>
    <mergeCell ref="A16:P16"/>
    <mergeCell ref="P17:P18"/>
    <mergeCell ref="C23:C24"/>
    <mergeCell ref="C25:C26"/>
    <mergeCell ref="C27:C28"/>
    <mergeCell ref="C29:C30"/>
    <mergeCell ref="A18:C18"/>
    <mergeCell ref="C19:C20"/>
    <mergeCell ref="C57:C58"/>
    <mergeCell ref="A19:A24"/>
    <mergeCell ref="A25:A44"/>
    <mergeCell ref="B55:B56"/>
    <mergeCell ref="C55:C56"/>
    <mergeCell ref="B21:B22"/>
    <mergeCell ref="B23:B24"/>
    <mergeCell ref="B25:B26"/>
    <mergeCell ref="B27:B28"/>
    <mergeCell ref="B29:B30"/>
    <mergeCell ref="C21:C22"/>
    <mergeCell ref="C51:C52"/>
    <mergeCell ref="A45:A78"/>
    <mergeCell ref="B61:B62"/>
    <mergeCell ref="B63:B64"/>
    <mergeCell ref="B65:B66"/>
    <mergeCell ref="A10:P10"/>
    <mergeCell ref="A11:P11"/>
    <mergeCell ref="A12:P12"/>
    <mergeCell ref="A13:P13"/>
    <mergeCell ref="A14:P14"/>
    <mergeCell ref="B19:B20"/>
    <mergeCell ref="C43:C44"/>
    <mergeCell ref="C47:C48"/>
    <mergeCell ref="C49:C50"/>
    <mergeCell ref="B43:B44"/>
    <mergeCell ref="B45:B46"/>
    <mergeCell ref="B47:B48"/>
    <mergeCell ref="B49:B50"/>
    <mergeCell ref="C39:C40"/>
    <mergeCell ref="C31:C32"/>
    <mergeCell ref="C41:C42"/>
    <mergeCell ref="C33:C34"/>
    <mergeCell ref="B31:B32"/>
    <mergeCell ref="B33:B34"/>
    <mergeCell ref="B35:B36"/>
    <mergeCell ref="B37:B38"/>
    <mergeCell ref="B39:B40"/>
    <mergeCell ref="B41:B42"/>
    <mergeCell ref="A15:P15"/>
    <mergeCell ref="A1:P7"/>
    <mergeCell ref="A8:P8"/>
    <mergeCell ref="J165:M165"/>
    <mergeCell ref="J167:M167"/>
    <mergeCell ref="J166:M166"/>
    <mergeCell ref="C53:C54"/>
    <mergeCell ref="A161:C161"/>
    <mergeCell ref="A162:C162"/>
    <mergeCell ref="A163:C163"/>
    <mergeCell ref="C45:C46"/>
    <mergeCell ref="C35:C36"/>
    <mergeCell ref="C37:C38"/>
    <mergeCell ref="C59:C60"/>
    <mergeCell ref="C61:C62"/>
    <mergeCell ref="C63:C64"/>
    <mergeCell ref="C65:C66"/>
    <mergeCell ref="C67:C68"/>
    <mergeCell ref="C69:C70"/>
    <mergeCell ref="C71:C72"/>
    <mergeCell ref="C73:C74"/>
    <mergeCell ref="C75:C76"/>
    <mergeCell ref="C77:C78"/>
    <mergeCell ref="C79:C80"/>
    <mergeCell ref="C81:C82"/>
    <mergeCell ref="C83:C84"/>
    <mergeCell ref="C85:C86"/>
    <mergeCell ref="C87:C88"/>
    <mergeCell ref="C89:C90"/>
    <mergeCell ref="C91:C92"/>
    <mergeCell ref="C93:C94"/>
    <mergeCell ref="C95:C96"/>
    <mergeCell ref="C97:C98"/>
    <mergeCell ref="C99:C100"/>
    <mergeCell ref="C101:C102"/>
    <mergeCell ref="C103:C104"/>
    <mergeCell ref="C105:C106"/>
    <mergeCell ref="C107:C108"/>
    <mergeCell ref="C109:C110"/>
    <mergeCell ref="C111:C112"/>
    <mergeCell ref="C113:C114"/>
    <mergeCell ref="C115:C116"/>
    <mergeCell ref="C117:C118"/>
    <mergeCell ref="C119:C120"/>
    <mergeCell ref="C121:C122"/>
    <mergeCell ref="C123:C124"/>
    <mergeCell ref="C125:C126"/>
    <mergeCell ref="C127:C128"/>
    <mergeCell ref="C129:C130"/>
    <mergeCell ref="C131:C132"/>
    <mergeCell ref="C133:C134"/>
    <mergeCell ref="C135:C136"/>
    <mergeCell ref="B131:B132"/>
    <mergeCell ref="B133:B134"/>
    <mergeCell ref="B135:B136"/>
    <mergeCell ref="B137:B138"/>
    <mergeCell ref="C137:C138"/>
    <mergeCell ref="C139:C140"/>
    <mergeCell ref="C141:C142"/>
    <mergeCell ref="C143:C144"/>
    <mergeCell ref="C145:C14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horizontalDpi="4294967292" r:id="rId1"/>
  <headerFooter>
    <oddFooter xml:space="preserve">&amp;CPrefeitura Municipal da Estância Turística de Paraguaçu Paulista - Rua Polidoro Simões, 533 (sede provisória) CEP 19.700-000
Fone: (18)3361-9100 - Fax: (18)3361-1331 – Estância Turística de Paraguaçu Paulista - SP </oddFooter>
  </headerFooter>
  <rowBreaks count="1" manualBreakCount="1">
    <brk id="6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 FÍSICO-FINANCEIRO</vt:lpstr>
      <vt:lpstr>'CRONOGRAMA FÍSICO-FINANCEIRO'!Area_de_impressao</vt:lpstr>
      <vt:lpstr>'CRONOGRAMA FÍSICO-FINANCEIRO'!Titulos_de_impressao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Usuario</cp:lastModifiedBy>
  <cp:lastPrinted>2018-06-13T19:57:08Z</cp:lastPrinted>
  <dcterms:created xsi:type="dcterms:W3CDTF">2017-07-25T03:22:15Z</dcterms:created>
  <dcterms:modified xsi:type="dcterms:W3CDTF">2018-06-13T19:59:33Z</dcterms:modified>
</cp:coreProperties>
</file>