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440" windowHeight="12735" activeTab="1"/>
  </bookViews>
  <sheets>
    <sheet name="Planilha Orçamentária" sheetId="1" r:id="rId1"/>
    <sheet name="Memória de Cálculo" sheetId="2" r:id="rId2"/>
  </sheets>
  <definedNames>
    <definedName name="_xlnm.Print_Area" localSheetId="1">'Memória de Cálculo'!$A$1:$G$620</definedName>
    <definedName name="_xlnm.Print_Area" localSheetId="0">'Planilha Orçamentária'!$A$1:$H$712</definedName>
    <definedName name="_xlnm.Print_Titles" localSheetId="1">'Memória de Cálculo'!$1:$15</definedName>
    <definedName name="_xlnm.Print_Titles" localSheetId="0">'Planilha Orçamentária'!$1:$15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0" i="2"/>
  <c r="F611"/>
  <c r="F694" i="1"/>
  <c r="F53" l="1"/>
  <c r="F49" i="2"/>
  <c r="F48"/>
  <c r="F47"/>
  <c r="F52" i="1"/>
  <c r="F55"/>
  <c r="F54"/>
  <c r="F507" l="1"/>
  <c r="F89" i="2"/>
  <c r="F100" i="1"/>
  <c r="F99"/>
  <c r="F98"/>
  <c r="F613" i="2"/>
  <c r="F612"/>
  <c r="F609"/>
  <c r="F608"/>
  <c r="F607"/>
  <c r="F606"/>
  <c r="F605"/>
  <c r="F695" i="1"/>
  <c r="F690"/>
  <c r="F691"/>
  <c r="F84" i="2"/>
  <c r="F83"/>
  <c r="F94" i="1"/>
  <c r="F93"/>
  <c r="F80" i="2"/>
  <c r="F89" i="1"/>
  <c r="F697" l="1"/>
  <c r="F696"/>
  <c r="F352"/>
  <c r="F313" i="2"/>
  <c r="F375"/>
  <c r="F422" i="1"/>
  <c r="F287" i="2"/>
  <c r="F324" i="1"/>
  <c r="F286" i="2"/>
  <c r="F323" i="1"/>
  <c r="F130" i="2"/>
  <c r="F126"/>
  <c r="F128" s="1"/>
  <c r="F122"/>
  <c r="F124" s="1"/>
  <c r="F121"/>
  <c r="F120"/>
  <c r="F139" i="1"/>
  <c r="F138"/>
  <c r="F125" i="2" l="1"/>
  <c r="F129"/>
  <c r="F123"/>
  <c r="F127"/>
  <c r="F88"/>
  <c r="F87"/>
  <c r="F81"/>
  <c r="F90" i="1"/>
  <c r="F79" i="2" l="1"/>
  <c r="F41"/>
  <c r="F88" i="1"/>
  <c r="F46"/>
  <c r="F457" i="2" l="1"/>
  <c r="F460" s="1"/>
  <c r="F466"/>
  <c r="F465"/>
  <c r="F464"/>
  <c r="F461"/>
  <c r="F462" s="1"/>
  <c r="F463" s="1"/>
  <c r="F452"/>
  <c r="F559"/>
  <c r="F558"/>
  <c r="F557"/>
  <c r="F556"/>
  <c r="F61"/>
  <c r="F64" s="1"/>
  <c r="F70"/>
  <c r="F69"/>
  <c r="F68"/>
  <c r="F65"/>
  <c r="F66" s="1"/>
  <c r="F67" s="1"/>
  <c r="F59"/>
  <c r="F55"/>
  <c r="F58" s="1"/>
  <c r="F513" i="1"/>
  <c r="F67"/>
  <c r="F451" i="2" l="1"/>
  <c r="F455" s="1"/>
  <c r="F458"/>
  <c r="F459"/>
  <c r="F63"/>
  <c r="F62"/>
  <c r="F627" i="1"/>
  <c r="F626"/>
  <c r="F625"/>
  <c r="F624"/>
  <c r="F517"/>
  <c r="F518" s="1"/>
  <c r="F71"/>
  <c r="F72" s="1"/>
  <c r="F73" s="1"/>
  <c r="F520"/>
  <c r="F516"/>
  <c r="F74"/>
  <c r="F69"/>
  <c r="F61"/>
  <c r="F64" s="1"/>
  <c r="F68" l="1"/>
  <c r="F70"/>
  <c r="F515"/>
  <c r="F519"/>
  <c r="F514"/>
  <c r="F58"/>
  <c r="F53" i="2"/>
  <c r="F45"/>
  <c r="F50" i="1"/>
  <c r="F52" i="2"/>
  <c r="F44"/>
  <c r="F43"/>
  <c r="F48" i="1"/>
  <c r="F49"/>
  <c r="F56" l="1"/>
  <c r="F57"/>
  <c r="F50" i="2"/>
  <c r="F51"/>
  <c r="F692" i="1"/>
  <c r="F693"/>
  <c r="F689"/>
  <c r="F600" i="2" l="1"/>
  <c r="F599"/>
  <c r="F681" i="1"/>
  <c r="F680"/>
  <c r="F522" l="1"/>
  <c r="F521"/>
  <c r="F76"/>
  <c r="F75"/>
  <c r="F317" i="2" l="1"/>
  <c r="F357" i="1"/>
  <c r="F72" i="2" l="1"/>
  <c r="F79" i="1"/>
  <c r="F111" i="2" l="1"/>
  <c r="F108"/>
  <c r="F106"/>
  <c r="F107" s="1"/>
  <c r="F100"/>
  <c r="F99"/>
  <c r="F98"/>
  <c r="F97"/>
  <c r="F96"/>
  <c r="F102" s="1"/>
  <c r="F92"/>
  <c r="F93" s="1"/>
  <c r="F94" s="1"/>
  <c r="F95" s="1"/>
  <c r="F86"/>
  <c r="F75"/>
  <c r="F76" s="1"/>
  <c r="F39"/>
  <c r="F125" i="1"/>
  <c r="F112"/>
  <c r="F111"/>
  <c r="F110"/>
  <c r="F104"/>
  <c r="F121"/>
  <c r="F119"/>
  <c r="F97"/>
  <c r="F65"/>
  <c r="F83"/>
  <c r="F45" l="1"/>
  <c r="F84"/>
  <c r="F40" i="2"/>
  <c r="F77"/>
  <c r="F74"/>
  <c r="F101"/>
  <c r="F85" i="1"/>
  <c r="F326" i="2" l="1"/>
  <c r="F367" i="1"/>
  <c r="F301" i="2"/>
  <c r="F298"/>
  <c r="F339" i="1"/>
  <c r="F336"/>
  <c r="F291" i="2"/>
  <c r="F328" i="1"/>
  <c r="F327"/>
  <c r="F290" i="2"/>
  <c r="G180" l="1"/>
  <c r="G179"/>
  <c r="F570" l="1"/>
  <c r="F569"/>
  <c r="F553"/>
  <c r="F547"/>
  <c r="F546"/>
  <c r="F545"/>
  <c r="F537"/>
  <c r="F533"/>
  <c r="F528"/>
  <c r="F529" s="1"/>
  <c r="F527"/>
  <c r="F523"/>
  <c r="F524" s="1"/>
  <c r="F522"/>
  <c r="F531" s="1"/>
  <c r="F516"/>
  <c r="F518" s="1"/>
  <c r="F515"/>
  <c r="F517" s="1"/>
  <c r="F513"/>
  <c r="F512"/>
  <c r="F510"/>
  <c r="F508"/>
  <c r="F507"/>
  <c r="F505"/>
  <c r="F504"/>
  <c r="F503"/>
  <c r="F502"/>
  <c r="F500"/>
  <c r="F496"/>
  <c r="F498" s="1"/>
  <c r="F495"/>
  <c r="F494"/>
  <c r="F493"/>
  <c r="F492"/>
  <c r="F491"/>
  <c r="F489"/>
  <c r="F490" s="1"/>
  <c r="F488"/>
  <c r="F485"/>
  <c r="F486" s="1"/>
  <c r="F482"/>
  <c r="F484" s="1"/>
  <c r="F480"/>
  <c r="F476"/>
  <c r="F477" s="1"/>
  <c r="F472"/>
  <c r="F473" s="1"/>
  <c r="F471"/>
  <c r="F470"/>
  <c r="F469"/>
  <c r="F448"/>
  <c r="F447"/>
  <c r="F446"/>
  <c r="F437"/>
  <c r="F436"/>
  <c r="F419"/>
  <c r="F418"/>
  <c r="F417"/>
  <c r="F416"/>
  <c r="F408"/>
  <c r="F402"/>
  <c r="F390"/>
  <c r="F389"/>
  <c r="F381"/>
  <c r="F380"/>
  <c r="F379"/>
  <c r="F374"/>
  <c r="F368"/>
  <c r="F365"/>
  <c r="F359"/>
  <c r="F358"/>
  <c r="F356"/>
  <c r="F352"/>
  <c r="F353" s="1"/>
  <c r="F350"/>
  <c r="F351" s="1"/>
  <c r="F343"/>
  <c r="F342"/>
  <c r="F341"/>
  <c r="F340"/>
  <c r="F339"/>
  <c r="F338"/>
  <c r="F335"/>
  <c r="F312" s="1"/>
  <c r="F334"/>
  <c r="F333"/>
  <c r="F332"/>
  <c r="F331"/>
  <c r="F330"/>
  <c r="F324"/>
  <c r="F323"/>
  <c r="F322"/>
  <c r="F321"/>
  <c r="F319"/>
  <c r="F318"/>
  <c r="F315"/>
  <c r="F314"/>
  <c r="F311"/>
  <c r="F308"/>
  <c r="F307"/>
  <c r="F306"/>
  <c r="F305"/>
  <c r="F304"/>
  <c r="F303"/>
  <c r="F299"/>
  <c r="F296"/>
  <c r="F292"/>
  <c r="F294" s="1"/>
  <c r="F288"/>
  <c r="F281"/>
  <c r="F280"/>
  <c r="F270"/>
  <c r="F269"/>
  <c r="F252"/>
  <c r="F251"/>
  <c r="F250"/>
  <c r="F249"/>
  <c r="F246"/>
  <c r="F245"/>
  <c r="F238"/>
  <c r="F226"/>
  <c r="F225"/>
  <c r="F211"/>
  <c r="F210"/>
  <c r="F207"/>
  <c r="F202"/>
  <c r="F199"/>
  <c r="F193"/>
  <c r="F187"/>
  <c r="F186"/>
  <c r="F180"/>
  <c r="F179"/>
  <c r="F176"/>
  <c r="F174"/>
  <c r="F173"/>
  <c r="F170"/>
  <c r="F169"/>
  <c r="F168"/>
  <c r="F165"/>
  <c r="F164"/>
  <c r="F163"/>
  <c r="F162"/>
  <c r="F160"/>
  <c r="F190" s="1"/>
  <c r="F157"/>
  <c r="F158" s="1"/>
  <c r="F154"/>
  <c r="F151"/>
  <c r="F150"/>
  <c r="F148"/>
  <c r="F147"/>
  <c r="F146"/>
  <c r="F145"/>
  <c r="F142"/>
  <c r="F141"/>
  <c r="F140"/>
  <c r="F139"/>
  <c r="F138"/>
  <c r="F135"/>
  <c r="F137" s="1"/>
  <c r="F132"/>
  <c r="F133" s="1"/>
  <c r="F34"/>
  <c r="F29"/>
  <c r="F31" s="1"/>
  <c r="F28"/>
  <c r="F24"/>
  <c r="F25" s="1"/>
  <c r="F20"/>
  <c r="F33" s="1"/>
  <c r="F475" l="1"/>
  <c r="F487"/>
  <c r="F526"/>
  <c r="F530" s="1"/>
  <c r="F478"/>
  <c r="F483"/>
  <c r="F511"/>
  <c r="F474"/>
  <c r="F479"/>
  <c r="F497"/>
  <c r="F328"/>
  <c r="F355" s="1"/>
  <c r="F357" s="1"/>
  <c r="F289"/>
  <c r="F295"/>
  <c r="F300"/>
  <c r="F302"/>
  <c r="F336"/>
  <c r="F309"/>
  <c r="F293"/>
  <c r="F166"/>
  <c r="F171"/>
  <c r="F191"/>
  <c r="F192" s="1"/>
  <c r="F172"/>
  <c r="F188"/>
  <c r="F134"/>
  <c r="F161"/>
  <c r="F143"/>
  <c r="F136"/>
  <c r="F26"/>
  <c r="F30"/>
  <c r="F27"/>
  <c r="F23"/>
  <c r="F105" i="1"/>
  <c r="F106" s="1"/>
  <c r="F329" i="2" l="1"/>
  <c r="F301" i="1" l="1"/>
  <c r="F36" l="1"/>
  <c r="F30"/>
  <c r="F32" s="1"/>
  <c r="F29"/>
  <c r="F25"/>
  <c r="F20"/>
  <c r="F24" s="1"/>
  <c r="F31" l="1"/>
  <c r="F28"/>
  <c r="F35"/>
  <c r="F27"/>
  <c r="F26"/>
  <c r="F639" l="1"/>
  <c r="F638"/>
  <c r="F620"/>
  <c r="F614"/>
  <c r="F613"/>
  <c r="F612"/>
  <c r="F604"/>
  <c r="F599"/>
  <c r="F593"/>
  <c r="F592"/>
  <c r="F587"/>
  <c r="F588" s="1"/>
  <c r="F586"/>
  <c r="F596" s="1"/>
  <c r="F578"/>
  <c r="F580" s="1"/>
  <c r="F577"/>
  <c r="F574"/>
  <c r="F573"/>
  <c r="F571"/>
  <c r="F572" s="1"/>
  <c r="F568"/>
  <c r="F567"/>
  <c r="F564"/>
  <c r="F563"/>
  <c r="F562"/>
  <c r="F561"/>
  <c r="F558"/>
  <c r="F554"/>
  <c r="F555" s="1"/>
  <c r="F553"/>
  <c r="F552"/>
  <c r="F551"/>
  <c r="F550"/>
  <c r="F549"/>
  <c r="F547"/>
  <c r="F546"/>
  <c r="F543"/>
  <c r="F540"/>
  <c r="F541" s="1"/>
  <c r="F537"/>
  <c r="F533"/>
  <c r="F535" s="1"/>
  <c r="F529"/>
  <c r="F532" s="1"/>
  <c r="F528"/>
  <c r="F527"/>
  <c r="F526"/>
  <c r="F508"/>
  <c r="F503"/>
  <c r="F502"/>
  <c r="F501"/>
  <c r="F548" l="1"/>
  <c r="F544"/>
  <c r="F556"/>
  <c r="F531"/>
  <c r="F579"/>
  <c r="F511"/>
  <c r="F545"/>
  <c r="F530"/>
  <c r="F534"/>
  <c r="F536"/>
  <c r="F594"/>
  <c r="F542"/>
  <c r="F591"/>
  <c r="F595" l="1"/>
  <c r="F487" l="1"/>
  <c r="F486"/>
  <c r="F468"/>
  <c r="F467"/>
  <c r="F466"/>
  <c r="F465"/>
  <c r="F456"/>
  <c r="F450"/>
  <c r="F438"/>
  <c r="F437"/>
  <c r="F428"/>
  <c r="F427"/>
  <c r="F426"/>
  <c r="F421"/>
  <c r="F415"/>
  <c r="F412"/>
  <c r="F405"/>
  <c r="F404"/>
  <c r="F402"/>
  <c r="F397"/>
  <c r="F398" s="1"/>
  <c r="F395"/>
  <c r="F396" s="1"/>
  <c r="F386"/>
  <c r="F385"/>
  <c r="F384"/>
  <c r="F383"/>
  <c r="F382"/>
  <c r="F381"/>
  <c r="F377"/>
  <c r="F351" s="1"/>
  <c r="F376"/>
  <c r="F375"/>
  <c r="F374"/>
  <c r="F373"/>
  <c r="F372"/>
  <c r="F364"/>
  <c r="F363"/>
  <c r="F362"/>
  <c r="F361"/>
  <c r="F359"/>
  <c r="F358"/>
  <c r="F354"/>
  <c r="F353"/>
  <c r="F350"/>
  <c r="F346"/>
  <c r="F345"/>
  <c r="F344"/>
  <c r="F343"/>
  <c r="F342"/>
  <c r="F341"/>
  <c r="F333"/>
  <c r="F329"/>
  <c r="F325"/>
  <c r="F317"/>
  <c r="F316"/>
  <c r="F347" l="1"/>
  <c r="F340"/>
  <c r="F330"/>
  <c r="F326"/>
  <c r="F332"/>
  <c r="F378"/>
  <c r="F338"/>
  <c r="F331"/>
  <c r="F337"/>
  <c r="F370" l="1"/>
  <c r="F401" l="1"/>
  <c r="F371"/>
  <c r="F403" l="1"/>
  <c r="F300" l="1"/>
  <c r="F282"/>
  <c r="F281"/>
  <c r="F280"/>
  <c r="F279"/>
  <c r="F275"/>
  <c r="F274"/>
  <c r="F267"/>
  <c r="F255"/>
  <c r="F254"/>
  <c r="F239"/>
  <c r="F238"/>
  <c r="F235"/>
  <c r="F230"/>
  <c r="F227"/>
  <c r="F220"/>
  <c r="F213"/>
  <c r="F212"/>
  <c r="F205"/>
  <c r="F204"/>
  <c r="F201"/>
  <c r="F198"/>
  <c r="F197"/>
  <c r="F194"/>
  <c r="F193"/>
  <c r="F192"/>
  <c r="F188"/>
  <c r="F187"/>
  <c r="F186"/>
  <c r="F185"/>
  <c r="F183"/>
  <c r="F217" s="1"/>
  <c r="F179"/>
  <c r="F175"/>
  <c r="F172"/>
  <c r="F171"/>
  <c r="F168"/>
  <c r="F167"/>
  <c r="F166"/>
  <c r="F165"/>
  <c r="F161"/>
  <c r="F160"/>
  <c r="F159"/>
  <c r="F158"/>
  <c r="F157"/>
  <c r="F154"/>
  <c r="F155" s="1"/>
  <c r="F151"/>
  <c r="F153" s="1"/>
  <c r="F148"/>
  <c r="F144"/>
  <c r="F146" s="1"/>
  <c r="F140"/>
  <c r="F142" s="1"/>
  <c r="F218" l="1"/>
  <c r="F141"/>
  <c r="F145"/>
  <c r="F184"/>
  <c r="F214"/>
  <c r="F143"/>
  <c r="F147"/>
  <c r="F152"/>
  <c r="F180"/>
  <c r="F189"/>
  <c r="F196"/>
  <c r="F162"/>
  <c r="F156"/>
  <c r="F195"/>
  <c r="F219" l="1"/>
  <c r="F107" l="1"/>
  <c r="F109"/>
  <c r="F108"/>
  <c r="F113" l="1"/>
  <c r="F114"/>
  <c r="F44" l="1"/>
  <c r="F120"/>
  <c r="F82"/>
</calcChain>
</file>

<file path=xl/sharedStrings.xml><?xml version="1.0" encoding="utf-8"?>
<sst xmlns="http://schemas.openxmlformats.org/spreadsheetml/2006/main" count="5834" uniqueCount="1263">
  <si>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</si>
  <si>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</si>
  <si>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</si>
  <si>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</si>
  <si>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</si>
  <si>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</si>
  <si>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</si>
  <si>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</si>
  <si>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</si>
  <si>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</si>
  <si>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1.2</t>
  </si>
  <si>
    <t>1.3</t>
  </si>
  <si>
    <t>1.4</t>
  </si>
  <si>
    <t>Serviços Preliminares</t>
  </si>
  <si>
    <t>2.1</t>
  </si>
  <si>
    <t>3.1</t>
  </si>
  <si>
    <t>4.1</t>
  </si>
  <si>
    <t>4.2</t>
  </si>
  <si>
    <t>5.1</t>
  </si>
  <si>
    <t>Total</t>
  </si>
  <si>
    <t>BDI (%)</t>
  </si>
  <si>
    <t>Total Geral dos Serviços</t>
  </si>
  <si>
    <t>Limpeza</t>
  </si>
  <si>
    <t>m²</t>
  </si>
  <si>
    <t>02.08.020</t>
  </si>
  <si>
    <t>m³</t>
  </si>
  <si>
    <t>unid.</t>
  </si>
  <si>
    <t>m</t>
  </si>
  <si>
    <t>55.01.020</t>
  </si>
  <si>
    <t>Resp. Téc.: Arq. Dênis Mendes de Moraes</t>
  </si>
  <si>
    <t>CAU Nº.: A96375-5</t>
  </si>
  <si>
    <t>Placa de identificação para obra - Fixação de placas de obra do Governo do Estado de São Paulo</t>
  </si>
  <si>
    <t>Limpeza final da obra</t>
  </si>
  <si>
    <t>Subtotal item 1</t>
  </si>
  <si>
    <t>Subtotal item 2</t>
  </si>
  <si>
    <t>Subtotal item 3</t>
  </si>
  <si>
    <t>Subtotal item 4</t>
  </si>
  <si>
    <t>Estado de São Paulo</t>
  </si>
  <si>
    <t>Prefeitura Municipal da Estância Turística de Paraguaçu Paulista</t>
  </si>
  <si>
    <t>02.10.060</t>
  </si>
  <si>
    <t>02.10.040</t>
  </si>
  <si>
    <t>2.2</t>
  </si>
  <si>
    <t>46.12.030</t>
  </si>
  <si>
    <t>Tubo de concreto (PS-1), DN= 500mm</t>
  </si>
  <si>
    <t>2.3</t>
  </si>
  <si>
    <t>Drenagem de Águas Pluviais</t>
  </si>
  <si>
    <t>54.01.010</t>
  </si>
  <si>
    <t>3.2</t>
  </si>
  <si>
    <t>11.18.020</t>
  </si>
  <si>
    <t>2.4</t>
  </si>
  <si>
    <t>Pavimentação de Bloco de Concreto Permeável</t>
  </si>
  <si>
    <t>Pavimentação de Bloco de Concreto</t>
  </si>
  <si>
    <t>5.2</t>
  </si>
  <si>
    <t>54.04.360</t>
  </si>
  <si>
    <t>5.3</t>
  </si>
  <si>
    <t>5.4</t>
  </si>
  <si>
    <t>34.01.020</t>
  </si>
  <si>
    <t>Limpeza e regularização de áreas para ajardinamento (jardins e canteiros)</t>
  </si>
  <si>
    <t>34.02.100</t>
  </si>
  <si>
    <t>Plantio de grama esmeralda em placas (jardins e canteiros)</t>
  </si>
  <si>
    <t>Subtotal item 5</t>
  </si>
  <si>
    <t>Pavimentação de Bloco de Concreto para Pedestres</t>
  </si>
  <si>
    <t>6.1</t>
  </si>
  <si>
    <t>54.04.340</t>
  </si>
  <si>
    <t>6.2</t>
  </si>
  <si>
    <t>Pavimentação em lajota de concreto 35 MPa, espessura 6 cm, tipos: raquete, retangular, sextavado e 16 faces, com rejunte em areia</t>
  </si>
  <si>
    <t>Subtotal item 6</t>
  </si>
  <si>
    <t>Guias e Sarjetas</t>
  </si>
  <si>
    <t>7.1</t>
  </si>
  <si>
    <t>7.2</t>
  </si>
  <si>
    <t>7.3</t>
  </si>
  <si>
    <t>Subtotal item 7</t>
  </si>
  <si>
    <t>Pintura e Sinalização</t>
  </si>
  <si>
    <t>8.1</t>
  </si>
  <si>
    <t>97.04.010</t>
  </si>
  <si>
    <t>8.2</t>
  </si>
  <si>
    <t>97.05.100</t>
  </si>
  <si>
    <t>97.05.130</t>
  </si>
  <si>
    <t>8.3</t>
  </si>
  <si>
    <t>Paisagismo</t>
  </si>
  <si>
    <t>Subtotal item 8</t>
  </si>
  <si>
    <t>9.1</t>
  </si>
  <si>
    <t>34.04.130</t>
  </si>
  <si>
    <t>Subtotal item 9</t>
  </si>
  <si>
    <t>Árvore ornamental tipo Ipê Amarelo - h= 2,00 m</t>
  </si>
  <si>
    <t>Base: CPOS - 171</t>
  </si>
  <si>
    <t>CPOS/171</t>
  </si>
  <si>
    <t>07.11.020</t>
  </si>
  <si>
    <t>Reaterro compactado mecanizado de vala ou cava com compactador</t>
  </si>
  <si>
    <t>33.11.040</t>
  </si>
  <si>
    <t>02.02.150</t>
  </si>
  <si>
    <t>Locação de container tipo deposito - área mínima de 13,80 m²</t>
  </si>
  <si>
    <t>unxmês</t>
  </si>
  <si>
    <t>4.3</t>
  </si>
  <si>
    <t>4.4</t>
  </si>
  <si>
    <t>07.02.020</t>
  </si>
  <si>
    <t>Escavação mecanizada de valas ou cavas com profundidade de até 2,00 m</t>
  </si>
  <si>
    <t>Local: Rua Agenor Gianasi</t>
  </si>
  <si>
    <t>Memória de Cálculo</t>
  </si>
  <si>
    <t>Planilha de Memória de Cálculo</t>
  </si>
  <si>
    <t>(6*3)+(3*2) = 24,00 m²</t>
  </si>
  <si>
    <t>9.2</t>
  </si>
  <si>
    <t>9.3</t>
  </si>
  <si>
    <t>10.1</t>
  </si>
  <si>
    <t>Subtotal item 10</t>
  </si>
  <si>
    <t>Instalações Elétricas</t>
  </si>
  <si>
    <t>36.01.250</t>
  </si>
  <si>
    <t>Cubículo de média tensão, para uso ao tempo, classe 15 kV</t>
  </si>
  <si>
    <t>conj.</t>
  </si>
  <si>
    <t>8.4</t>
  </si>
  <si>
    <t>38.13.020</t>
  </si>
  <si>
    <t>39.21.070</t>
  </si>
  <si>
    <t>8.5</t>
  </si>
  <si>
    <t>8.6</t>
  </si>
  <si>
    <t>8.7</t>
  </si>
  <si>
    <t>39.21.030</t>
  </si>
  <si>
    <t>Cabo de cobre flexível de 4 mm², isolamento 0,6/1kV - isolação HEPR 90°C</t>
  </si>
  <si>
    <t>8.8</t>
  </si>
  <si>
    <t>40.02.080</t>
  </si>
  <si>
    <t>38.13.010</t>
  </si>
  <si>
    <t>8.9</t>
  </si>
  <si>
    <t>8.10</t>
  </si>
  <si>
    <t>8.11</t>
  </si>
  <si>
    <t>41.05.200</t>
  </si>
  <si>
    <t>41.08.210</t>
  </si>
  <si>
    <t>49.12.058</t>
  </si>
  <si>
    <t>Boca de leão simples tipo PMSP com grelha</t>
  </si>
  <si>
    <t>Paisagismo dos jardins.</t>
  </si>
  <si>
    <t>Entrada de energia.</t>
  </si>
  <si>
    <t>A</t>
  </si>
  <si>
    <t>Total do Item A</t>
  </si>
  <si>
    <t>B</t>
  </si>
  <si>
    <t>Administração</t>
  </si>
  <si>
    <t>02.10.020</t>
  </si>
  <si>
    <t>Locação de obra de edificação</t>
  </si>
  <si>
    <t>Infraestrutura</t>
  </si>
  <si>
    <t>12.06.010</t>
  </si>
  <si>
    <t>Taxa de mobilização e desmobilização de equipamentos para execução de estaca tipo Strauss</t>
  </si>
  <si>
    <t>tx</t>
  </si>
  <si>
    <t>12.06.020</t>
  </si>
  <si>
    <t>Estaca tipo Strauss, diâmetro de 25 cm até 20 t</t>
  </si>
  <si>
    <t>11.01.290</t>
  </si>
  <si>
    <t>Concreto usinado, fck = 25,0 MPa - para bombeamento - Viga Baldrame</t>
  </si>
  <si>
    <t>11.16.040</t>
  </si>
  <si>
    <t>Lançamento e adensamento de concreto ou massa em fundação - Viga Baldrame</t>
  </si>
  <si>
    <t>2.5</t>
  </si>
  <si>
    <t>10.01.040</t>
  </si>
  <si>
    <t xml:space="preserve">Armadura em barra de aço CA-50 (A ou B) fyk= 500 Mpa - Viga Baldrame </t>
  </si>
  <si>
    <t>Kg</t>
  </si>
  <si>
    <t>2.6</t>
  </si>
  <si>
    <t>10.01.060</t>
  </si>
  <si>
    <t>Armadura em barra de aço CA-60 (A ou B) fyk= 600 Mpa - Viga Baldrame</t>
  </si>
  <si>
    <t>2.7</t>
  </si>
  <si>
    <t>Concreto usinado, fck = 25,0 MPa - para bombeamento - Blocos de coroamento</t>
  </si>
  <si>
    <t>2.8</t>
  </si>
  <si>
    <t>Lançamento e adensamento de concreto ou massa em fundação - Blocos de coroamento</t>
  </si>
  <si>
    <t>2.9</t>
  </si>
  <si>
    <t>Armadura em barra de aço CA-50 (A ou B) fyk= 500 Mpa - Blocos de coroamento</t>
  </si>
  <si>
    <t>2.10</t>
  </si>
  <si>
    <t>Armadura em barra de aço CA-60 (A ou B) fyk= 600 Mpa - Blocos de coroamento</t>
  </si>
  <si>
    <t>2.11</t>
  </si>
  <si>
    <t>11.18.040</t>
  </si>
  <si>
    <t>Lastro de pedra britada</t>
  </si>
  <si>
    <t>Supraestrutura</t>
  </si>
  <si>
    <t>Concreto usinado, fck = 25,0 MPa - para bombeamento - Concreto armado p/ pilares</t>
  </si>
  <si>
    <t>Armadura em barra de aço CA-50 (A ou B) fyk= 500 Mpa - Pilares</t>
  </si>
  <si>
    <t>3.3</t>
  </si>
  <si>
    <t>Armadura em barra de aço CA-60 (A ou B) fyk= 600 Mpa - Pilares</t>
  </si>
  <si>
    <t>3.4</t>
  </si>
  <si>
    <t>Concreto usinado, fck = 25,0 MPa - para bombeamento - Conc. Arm. p/ vigas de respaldo</t>
  </si>
  <si>
    <t>3.5</t>
  </si>
  <si>
    <t>Armadura em barra de aço CA-50 (A ou B) fyk= 500 Mpa - Vigas</t>
  </si>
  <si>
    <t>3.6</t>
  </si>
  <si>
    <t>Armadura em barra de aço CA-60 (A ou B) fyk= 600 Mpa - Vigas</t>
  </si>
  <si>
    <t>3.7</t>
  </si>
  <si>
    <t>14.20.010</t>
  </si>
  <si>
    <t>Vergas, contravergas e pilaretes de concreto armado</t>
  </si>
  <si>
    <t>3.8</t>
  </si>
  <si>
    <t>13.01.020</t>
  </si>
  <si>
    <t>Laje pré-fabricada mista vigota treliçada/lajota cerâmica - LT 12 (8+4) e capa com concreto de 20MPa - Laje pré-moldada</t>
  </si>
  <si>
    <t>3.9</t>
  </si>
  <si>
    <t>32.17.050</t>
  </si>
  <si>
    <t>Impermeabilização com cimento cristalizante para umidade e água de percolação - Laje</t>
  </si>
  <si>
    <t>3.10</t>
  </si>
  <si>
    <t>11.01.260</t>
  </si>
  <si>
    <t xml:space="preserve">Concreto usinado, fck = 20,0 MPa - para bombeamento - Contrapiso </t>
  </si>
  <si>
    <t>3.11</t>
  </si>
  <si>
    <t>09.01.030</t>
  </si>
  <si>
    <t xml:space="preserve">Forma em madeira comum para estrutura </t>
  </si>
  <si>
    <t>3.12</t>
  </si>
  <si>
    <t>11.16.060</t>
  </si>
  <si>
    <t>Lançamento e adensamento de concreto ou massa em estrutura</t>
  </si>
  <si>
    <t>Alvenaria</t>
  </si>
  <si>
    <t>14.01.020</t>
  </si>
  <si>
    <t>Alvenaria de embasamento em tijolo maciço comum</t>
  </si>
  <si>
    <t>14.04.210</t>
  </si>
  <si>
    <t>Alvenaria de bloco cerâmico de vedação, uso revestido, de 14 cm</t>
  </si>
  <si>
    <t>Impermeabilização com cimento cristalizante para umidade e água de percolação - Embasamento e Paredes</t>
  </si>
  <si>
    <t>32.16.010</t>
  </si>
  <si>
    <t>Impermeabilização em pintura de asfalto oxidado com solventes orgânicos, sobre massa - Embasamento</t>
  </si>
  <si>
    <t>Cobertura</t>
  </si>
  <si>
    <t>15.01.310</t>
  </si>
  <si>
    <t>Estrutura em terças para telhas de barro</t>
  </si>
  <si>
    <t>16.02.010</t>
  </si>
  <si>
    <t>Telha de barro tipo italiana</t>
  </si>
  <si>
    <t>16.02.230</t>
  </si>
  <si>
    <t>Cumeeira de barro emboçado tipos: plan, romana, italiana, francesa e paulistinha</t>
  </si>
  <si>
    <t>16.33.020</t>
  </si>
  <si>
    <t>Calha, rufo, afins em chapa galvanizada nº 24 - corte 0,33 m - Calhas</t>
  </si>
  <si>
    <t>5.5</t>
  </si>
  <si>
    <t>Calha, rufo, afins em chapa galvanizada nº 24 - corte 0,33 m - Rufos</t>
  </si>
  <si>
    <t>5.6</t>
  </si>
  <si>
    <t>Calha, rufo, afins em chapa galvanizada nº 24 - corte 0,33 m - Condutores verticais</t>
  </si>
  <si>
    <t>Forro</t>
  </si>
  <si>
    <t>22.01.020</t>
  </si>
  <si>
    <t>Forro em tábuas aparelhadas macho e fêmea de pinus tarugado</t>
  </si>
  <si>
    <t>Revestimento</t>
  </si>
  <si>
    <t>17.02.220</t>
  </si>
  <si>
    <t xml:space="preserve">Reboco </t>
  </si>
  <si>
    <t>17.02.020</t>
  </si>
  <si>
    <t>Chapisco</t>
  </si>
  <si>
    <t>18.06.022</t>
  </si>
  <si>
    <t>Placa cerâmica esmaltada PEI-4 para área interna, grupo de absorção BIIa, resistência química A, assentado com argamassa colante industrializada - Sanitário P.N.E.(h = 2,00 m)</t>
  </si>
  <si>
    <t>7.4</t>
  </si>
  <si>
    <t>Placa cerâmica esmaltada PEI-4 para área interna, grupo de absorção BIIa, resistência química A, assentado com argamassa colante industrializada - Sanitário (h = 2,00 m)</t>
  </si>
  <si>
    <t>7.5</t>
  </si>
  <si>
    <t>Placa cerâmica esmaltada PEI-4 para área interna, grupo de absorção BIIa, resistência química A, assentado com argamassa colante industrializada -  Copa (h = 2,00 m)</t>
  </si>
  <si>
    <t>7.6</t>
  </si>
  <si>
    <t>Placa cerâmica esmaltada PEI-4 para área interna, grupo de absorção BIIa, resistência química A, assentado com argamassa colante industrializada -  Tanque (h = 2,00 m)</t>
  </si>
  <si>
    <t>7.7</t>
  </si>
  <si>
    <t>18.06.430</t>
  </si>
  <si>
    <t>Rejuntamento em placas cerâmicas com argamassa industrializada para rejunte, juntas acima de 5 até 10 mm</t>
  </si>
  <si>
    <t xml:space="preserve"> </t>
  </si>
  <si>
    <t>Piso Interno</t>
  </si>
  <si>
    <t>Placa cerâmica esmaltada PEI-4 para área interna, grupo de absorção BIIa, resistência química A, assentado com argamassa colante industrializada - Sanitário P.N.E.</t>
  </si>
  <si>
    <t xml:space="preserve">Placa cerâmica esmaltada PEI-4 para área interna, grupo de absorção BIIa, resistência química A, assentado com argamassa colante industrializada - Sanitário </t>
  </si>
  <si>
    <t>18.06.023</t>
  </si>
  <si>
    <t>Rodapé em placa cerâmica esmaltada PEI-4 para áreas internas, grupo de absorção BIIa, resistência química A, assentado com argamassa colante industrializada - Sanitários</t>
  </si>
  <si>
    <t>18.06.530</t>
  </si>
  <si>
    <t>Rejuntamento de rodapé em placas cerâmicas com argamassa industrializada para rejunte, altura até 10 cm, juntas acima de 5 até 10 mm</t>
  </si>
  <si>
    <t>18.06.102</t>
  </si>
  <si>
    <t>Placa cerâmica esmaltada PEI-5 para área interna, grupo de absorção BIIb resistência química B, assentado com argamassa colante industrializada - Escritório/ Administração/ Copa</t>
  </si>
  <si>
    <t>18.06.103</t>
  </si>
  <si>
    <t>Piso Externo</t>
  </si>
  <si>
    <t>17.03.020</t>
  </si>
  <si>
    <t>Cimentado desempenado</t>
  </si>
  <si>
    <t>Placa cerâmica esmaltada PEI-4 para área interna, grupo de absorção BIIa, resistência química A, assentado com argamassa colante industrializada - Piso externo</t>
  </si>
  <si>
    <t>Rodapé em placa cerâmica esmaltada PEI-4 para áreas internas, grupo de absorção BIIa, resistência química A, assentado com argamassa colante industrializada - Externo/ Sanitários</t>
  </si>
  <si>
    <t>9.4</t>
  </si>
  <si>
    <t>9.5</t>
  </si>
  <si>
    <t>Aberturas</t>
  </si>
  <si>
    <t>23.13.052</t>
  </si>
  <si>
    <t>Porta lisa de madeira, interna, resistente a umidade "PIM RU", para acabamento em pintura, tipo acessível, padrão dimensional médio/pesado, com ferragens, completo - 90 x 210 cm - Portas acessiveis (sanitário c/ acessibilidade)</t>
  </si>
  <si>
    <t>10.2</t>
  </si>
  <si>
    <t>23.13.020</t>
  </si>
  <si>
    <t>Porta lisa de madeira, interna, resistente a umidade "PIM RU", para acabamento em pintura, padrão dimensional médio/pesado, com ferragens, completo - 80 x 210 cm - Portas sanitários comum (interno/ público)(0,80x2,10m)</t>
  </si>
  <si>
    <t>10.3</t>
  </si>
  <si>
    <t>23.09.030</t>
  </si>
  <si>
    <t>Porta lisa com batente madeira - 70 x 210 cm</t>
  </si>
  <si>
    <t>10.4</t>
  </si>
  <si>
    <t>28.01.040</t>
  </si>
  <si>
    <t>Ferragem completa com maçaneta tipo alavanca para porta interna com 1 folha</t>
  </si>
  <si>
    <t>10.5</t>
  </si>
  <si>
    <t>26.02.060</t>
  </si>
  <si>
    <t>Vidro temperado incolor de 10 mm - Porta de vidro temperado (180X250cm)</t>
  </si>
  <si>
    <t>10.6</t>
  </si>
  <si>
    <t>Vidro temperado incolor de 10 mm - Janelas</t>
  </si>
  <si>
    <t>10.7</t>
  </si>
  <si>
    <t>25.01.080</t>
  </si>
  <si>
    <t>Caixilho em alumínio de correr, sob medida - Janelas</t>
  </si>
  <si>
    <t>Pintura</t>
  </si>
  <si>
    <t>11.1</t>
  </si>
  <si>
    <t>33.02.060</t>
  </si>
  <si>
    <t>Massa corrida a base de PVA</t>
  </si>
  <si>
    <t>11.2</t>
  </si>
  <si>
    <t>33.10.010</t>
  </si>
  <si>
    <t>Tinta látex antimofo em massa, inclusive preparo</t>
  </si>
  <si>
    <t>11.3</t>
  </si>
  <si>
    <t>33.10.030</t>
  </si>
  <si>
    <t>Tinta acrílica antimofo em massa, inclusive preparo</t>
  </si>
  <si>
    <t>11.4</t>
  </si>
  <si>
    <t>33.12.010</t>
  </si>
  <si>
    <t>Esmalte em superfície de madeira, inclusive preparo - Portas</t>
  </si>
  <si>
    <t>Subtotal item 11</t>
  </si>
  <si>
    <t>Louças, Metais e Acabamentos</t>
  </si>
  <si>
    <t>12.1</t>
  </si>
  <si>
    <t>30.08.060</t>
  </si>
  <si>
    <t>Bacia sifonada de louça para pessoas com mobilidade reduzida - 6 litros</t>
  </si>
  <si>
    <t>12.2</t>
  </si>
  <si>
    <t>30.08.020</t>
  </si>
  <si>
    <t>Assento para bacia sanitária com abertura frontal, para pessoas com mobilidade reduzida</t>
  </si>
  <si>
    <t>12.3</t>
  </si>
  <si>
    <t>30.01.030</t>
  </si>
  <si>
    <t>Barra de apoio reta, para pessoas com mobilidade reduzida, em tubo de aço inoxidável de 1 1/2´ x 800 mm</t>
  </si>
  <si>
    <t>12.4</t>
  </si>
  <si>
    <t>30.01.120</t>
  </si>
  <si>
    <t>Barra de apoio reta, para pessoas com mobilidade reduzida, em tubo de aço inoxidável de 1 1/4´x 400 mm - Para portas com acessibilidade</t>
  </si>
  <si>
    <t>12.5</t>
  </si>
  <si>
    <t>21.03.010</t>
  </si>
  <si>
    <t>12.6</t>
  </si>
  <si>
    <t>44.03.050</t>
  </si>
  <si>
    <t>Dispenser papel higiênico em ABS para rolão 300 / 600 m, com visor</t>
  </si>
  <si>
    <t>12.7</t>
  </si>
  <si>
    <t>44.03.180</t>
  </si>
  <si>
    <t>Dispenser toalheiro em ABS, para folhas</t>
  </si>
  <si>
    <t>12.8</t>
  </si>
  <si>
    <t>26.04.010</t>
  </si>
  <si>
    <t>Espelho em vidro cristal liso, espessura de 4 mm, colocado sobre a parede</t>
  </si>
  <si>
    <t>12.9</t>
  </si>
  <si>
    <t>44.03.130</t>
  </si>
  <si>
    <t>Saboneteira tipo dispenser, para refil de 800 ml</t>
  </si>
  <si>
    <t>12.10</t>
  </si>
  <si>
    <t>44.03.720</t>
  </si>
  <si>
    <t>Torneira de mesa para lavatório, acionamento hidromecânico com alavanca, registro integrado regulador de vazão, em latão cromado, DN= 1/2´ - Sanitário P.N.E.</t>
  </si>
  <si>
    <t>12.11</t>
  </si>
  <si>
    <t>44.01.800</t>
  </si>
  <si>
    <t>Bacia sifonada de louça sem tampa - 6 litros</t>
  </si>
  <si>
    <t>12.12</t>
  </si>
  <si>
    <t>44.20.280</t>
  </si>
  <si>
    <t>Tampa de plástico para bacia sanitária</t>
  </si>
  <si>
    <t>12.13</t>
  </si>
  <si>
    <t>19.01.060</t>
  </si>
  <si>
    <t xml:space="preserve">Peitoril e/ou soleira em granito com espessura de 2 cm e largura até 20 cm </t>
  </si>
  <si>
    <t>12.14</t>
  </si>
  <si>
    <t>30.08.040</t>
  </si>
  <si>
    <t>Lavatório de louça para canto sem coluna para pessoas com mobilidade reduzida - Lavatório (cubas para acessibilidade)</t>
  </si>
  <si>
    <t>12.15</t>
  </si>
  <si>
    <t>44.01.270</t>
  </si>
  <si>
    <t>Cuba de louça de embutir oval - WC comuns</t>
  </si>
  <si>
    <t>12.16</t>
  </si>
  <si>
    <t>44.02.060</t>
  </si>
  <si>
    <t>Tampo/bancada em granito com espessura de 3 cm - Copa</t>
  </si>
  <si>
    <t>12.17</t>
  </si>
  <si>
    <t xml:space="preserve">Tampo/bancada em granito com espessura de 3 cm - Sanitário </t>
  </si>
  <si>
    <t>12.18</t>
  </si>
  <si>
    <t>44.03.480</t>
  </si>
  <si>
    <t>Torneira de mesa para lavatório compacta, acionamento hidromecânico, em latão cromado, DN= 1/2´ - Torneiras para lavatórios</t>
  </si>
  <si>
    <t>12.19</t>
  </si>
  <si>
    <t>28.20.600</t>
  </si>
  <si>
    <t>Fechadura de centro com cilindro para porta em vidro temperado</t>
  </si>
  <si>
    <t>12.20</t>
  </si>
  <si>
    <t>28.20.590</t>
  </si>
  <si>
    <t>Contra fechadura de centro para porta em vidro temperado</t>
  </si>
  <si>
    <t>12.21</t>
  </si>
  <si>
    <t>28.20.230</t>
  </si>
  <si>
    <t>Dobradiça superior para porta de vidro temperado</t>
  </si>
  <si>
    <t>12.22</t>
  </si>
  <si>
    <t>30.06.080</t>
  </si>
  <si>
    <t>Placa de identificação em alumínio para WC, com desenho universal de acessibilidade</t>
  </si>
  <si>
    <t>12.23</t>
  </si>
  <si>
    <t>44.03.590</t>
  </si>
  <si>
    <t>Torneira de mesa para pia com bica móvel e arejador em latão fundido cromado</t>
  </si>
  <si>
    <t>12.24</t>
  </si>
  <si>
    <t>44.06.300</t>
  </si>
  <si>
    <t>Cuba em aço inoxidável simples de 400x340x140mm</t>
  </si>
  <si>
    <t>12.25</t>
  </si>
  <si>
    <t>44.01.310</t>
  </si>
  <si>
    <t>Tanque de louça com coluna de 30 litros</t>
  </si>
  <si>
    <t>12.26</t>
  </si>
  <si>
    <t>44.03.470</t>
  </si>
  <si>
    <t>Torneira de parede para pia com bica móvel e arejador, em latão fundido cromado</t>
  </si>
  <si>
    <t>12.27</t>
  </si>
  <si>
    <t>44.03.400</t>
  </si>
  <si>
    <t>Torneira curta com rosca para uso geral, em latão fundido cromado, DN= 3/4´</t>
  </si>
  <si>
    <t>Subtotal item 12</t>
  </si>
  <si>
    <t>13.1</t>
  </si>
  <si>
    <t>41.14.530</t>
  </si>
  <si>
    <t>Luminária redonda de sobrepor com difusor em vidro temperado jateado para 1 ou 2 lâmpadas fluorescentes compactas de 18/26W</t>
  </si>
  <si>
    <t>13.2</t>
  </si>
  <si>
    <t>41.14.360</t>
  </si>
  <si>
    <t>13.3</t>
  </si>
  <si>
    <t>41.07.820</t>
  </si>
  <si>
    <t>Lâmpada fluorescente compacta "2U", base G-24D-3 de 26 W</t>
  </si>
  <si>
    <t>13.4</t>
  </si>
  <si>
    <t>41.07.070</t>
  </si>
  <si>
    <t>Lâmpada fluorescente tubular, base bipino bilateral de 32 W</t>
  </si>
  <si>
    <t>13.5</t>
  </si>
  <si>
    <t>41.13.180</t>
  </si>
  <si>
    <t>Luminária blindada, arandela 45° e 90°, para lâmpada fluorescente compacta</t>
  </si>
  <si>
    <t>13.6</t>
  </si>
  <si>
    <t>37.03.210</t>
  </si>
  <si>
    <t>Quadro de distribuição universal de embutir, para disjuntores 24 DIN / 18 Bolt-on - 150 A - sem componentes</t>
  </si>
  <si>
    <t>13.7</t>
  </si>
  <si>
    <t>37.13.640</t>
  </si>
  <si>
    <t>Disjuntor termomagnético, bipolar 220/380 V, corrente de 60 A até 100 A</t>
  </si>
  <si>
    <t>13.8</t>
  </si>
  <si>
    <t>37.13.630</t>
  </si>
  <si>
    <t>Disjuntor termomagnético, bipolar 220/380 V, corrente de 10 A até 50 A</t>
  </si>
  <si>
    <t>13.9</t>
  </si>
  <si>
    <t>38.19.030</t>
  </si>
  <si>
    <t>Eletroduto de PVC corrugado flexível leve, diâmetro externo de 25 mm</t>
  </si>
  <si>
    <t>13.10</t>
  </si>
  <si>
    <t>38.01.160</t>
  </si>
  <si>
    <t>Eletroduto de PVC rígido roscável de 3´ - com acessórios</t>
  </si>
  <si>
    <t>13.11</t>
  </si>
  <si>
    <t>13.12</t>
  </si>
  <si>
    <t>39.02.016</t>
  </si>
  <si>
    <t>Cabo de cobre de 2,5 mm², isolamento 750 V - isolação em PVC 70°C</t>
  </si>
  <si>
    <t>13.13</t>
  </si>
  <si>
    <t>39.02.020</t>
  </si>
  <si>
    <t>Cabo de cobre de 4 mm², isolamento 750 V - isolação em PVC 70°C</t>
  </si>
  <si>
    <t>13.14</t>
  </si>
  <si>
    <t>39.26.060</t>
  </si>
  <si>
    <t>Cabo de cobre flexível de 16 mm², isolamento 0,6/1 kV - isolação HEPR 90°C - baixa emissão de fumaça e gases</t>
  </si>
  <si>
    <t>13.15</t>
  </si>
  <si>
    <t>39.26.070</t>
  </si>
  <si>
    <t>Cabo de cobre flexível de 25 mm², isolamento 0,6/1 kV - isolação HEPR 90°C - baixa emissão de fumaça e gases</t>
  </si>
  <si>
    <t>13.16</t>
  </si>
  <si>
    <t>40.07.010</t>
  </si>
  <si>
    <t>Caixa em PVC de 4´ x 2´</t>
  </si>
  <si>
    <t>13.17</t>
  </si>
  <si>
    <t>40.07.040</t>
  </si>
  <si>
    <t>Caixa em PVC octogonal de 4´ x 4´</t>
  </si>
  <si>
    <t>13.18</t>
  </si>
  <si>
    <t>40.05.140</t>
  </si>
  <si>
    <t>Interruptor com 3 teclas, 2 simples, 1 paralelo e placa</t>
  </si>
  <si>
    <t>cj.</t>
  </si>
  <si>
    <t>13.19</t>
  </si>
  <si>
    <t>40.05.100</t>
  </si>
  <si>
    <t>Interruptor com 2 teclas paralelo e placa</t>
  </si>
  <si>
    <t>13.20</t>
  </si>
  <si>
    <t>40.05.020</t>
  </si>
  <si>
    <t>Interruptor com 1 tecla simples e placa</t>
  </si>
  <si>
    <t>13.21</t>
  </si>
  <si>
    <t>40.04.450</t>
  </si>
  <si>
    <t>Tomada 2P+T de 10 A - 250 V, completa</t>
  </si>
  <si>
    <t>13.22</t>
  </si>
  <si>
    <t>40.04.460</t>
  </si>
  <si>
    <t>Tomada 2P+T de 20 A - 250 V, completa</t>
  </si>
  <si>
    <t>13.23</t>
  </si>
  <si>
    <t>37.10.010</t>
  </si>
  <si>
    <t>Barramento de cobre nu</t>
  </si>
  <si>
    <t>13.24</t>
  </si>
  <si>
    <t>39.11.090</t>
  </si>
  <si>
    <t>Fio telefônico tipo FI-60, para ligação de aparelhos telefônicos</t>
  </si>
  <si>
    <t>Subtotal item 13</t>
  </si>
  <si>
    <t>14.1</t>
  </si>
  <si>
    <t>48.02.001</t>
  </si>
  <si>
    <t>Reservatório de fibra de vidro - capacidade de 500 litros</t>
  </si>
  <si>
    <t>14.2</t>
  </si>
  <si>
    <t>46.01.020</t>
  </si>
  <si>
    <t>Tubo de PVC rígido soldável marrom, DN= 25 mm, (3/4´), inclusive conexões</t>
  </si>
  <si>
    <t>14.3</t>
  </si>
  <si>
    <t>46.01.040</t>
  </si>
  <si>
    <t>Tubo de PVC rígido soldável marrom, DN= 40 mm, (1 1/4´), inclusive conexões</t>
  </si>
  <si>
    <t>14.4</t>
  </si>
  <si>
    <t>46.02.010</t>
  </si>
  <si>
    <t>14.5</t>
  </si>
  <si>
    <t>46.02.070</t>
  </si>
  <si>
    <t>Tubo de PVC rígido branco PxB com virola e anel de borracha, linha esgoto série normal, DN= 100 mm, inclusive conexões</t>
  </si>
  <si>
    <t>14.6</t>
  </si>
  <si>
    <t>49.08.250</t>
  </si>
  <si>
    <t>Caixa de areia em PVC, diâmetro nominal = 100 mm</t>
  </si>
  <si>
    <t>14.7</t>
  </si>
  <si>
    <t>49.04.010</t>
  </si>
  <si>
    <t>Ralo seco em PVC rígido de 100 x 40 mm, com grelha</t>
  </si>
  <si>
    <t>14.8</t>
  </si>
  <si>
    <t>49.01.020</t>
  </si>
  <si>
    <t>Caixa sifonada de PVC rígido de 100 x 150 x 50 mm, com grelha</t>
  </si>
  <si>
    <t>14.9</t>
  </si>
  <si>
    <t>49.03.020</t>
  </si>
  <si>
    <t>Caixa de gordura em alvenaria, 60 x 60 x 60 cm</t>
  </si>
  <si>
    <t>14.10</t>
  </si>
  <si>
    <t>48.05.010</t>
  </si>
  <si>
    <t>Torneira de boia, DN= 3/4´</t>
  </si>
  <si>
    <t>14.11</t>
  </si>
  <si>
    <t>47.02.020</t>
  </si>
  <si>
    <t>Registro de gaveta em latão fundido cromado com canopla, DN= 3/4´ - linha especial</t>
  </si>
  <si>
    <t>14.12</t>
  </si>
  <si>
    <t>47.02.040</t>
  </si>
  <si>
    <t>Registro de gaveta em latão fundido cromado com canopla, DN= 1 1/4´ - linha especial</t>
  </si>
  <si>
    <t>14.13</t>
  </si>
  <si>
    <t>47.04.080</t>
  </si>
  <si>
    <t>Válvula de descarga externa, tipo alavanca com registro próprio, DN= 1 1/4´ e DN= 1 1/2´</t>
  </si>
  <si>
    <t>14.14</t>
  </si>
  <si>
    <t>47.01.040</t>
  </si>
  <si>
    <t>Registro de gaveta em latão fundido sem acabamento, DN= 1 1/4´</t>
  </si>
  <si>
    <t>14.15</t>
  </si>
  <si>
    <t>47.01.020</t>
  </si>
  <si>
    <t>Registro de gaveta em latão fundido sem acabamento, DN= 3/4´</t>
  </si>
  <si>
    <t>14.16</t>
  </si>
  <si>
    <t>47.01.030</t>
  </si>
  <si>
    <t>Registro de gaveta em latão fundido sem acabamento, DN= 1´</t>
  </si>
  <si>
    <t>Subtotal item 14</t>
  </si>
  <si>
    <t>Incêndio e Sinalização</t>
  </si>
  <si>
    <t>15.1</t>
  </si>
  <si>
    <t>50.10.100</t>
  </si>
  <si>
    <t>Extintor manual de água pressurizada - capacidade de 10 litros</t>
  </si>
  <si>
    <t>15.2</t>
  </si>
  <si>
    <t>50.10.110</t>
  </si>
  <si>
    <t>Extintor manual de pó químico seco ABC - capacidade de 4 kg</t>
  </si>
  <si>
    <t>15.3</t>
  </si>
  <si>
    <t>50.05.260</t>
  </si>
  <si>
    <t>Bloco autônomo de iluminação de emergência com autonomia mínima de 1 hora, equipado com 2 lâmpadas de 11 W</t>
  </si>
  <si>
    <t>15.4</t>
  </si>
  <si>
    <t>97.01.010</t>
  </si>
  <si>
    <t>Adesivo vinílico, padrão regulamentado, para sinalização de incêndio</t>
  </si>
  <si>
    <t>15.5</t>
  </si>
  <si>
    <t>30.04.100</t>
  </si>
  <si>
    <t>Piso tátil de concreto, alerta / direcional, intertravado, espessura de 6 cm, com rejunte em areia</t>
  </si>
  <si>
    <t>Subtotal item 15</t>
  </si>
  <si>
    <t>Climatização</t>
  </si>
  <si>
    <t>16.1</t>
  </si>
  <si>
    <t>43.07.330</t>
  </si>
  <si>
    <t xml:space="preserve">Ar condicionado a frio, tipo split parede com capacidade de 12.000 BTU/h </t>
  </si>
  <si>
    <t>16.2</t>
  </si>
  <si>
    <t>43.07.340</t>
  </si>
  <si>
    <t>Ar condicionado a frio, tipo split parede com capacidade de 18.000 BTU/h</t>
  </si>
  <si>
    <t>Subtotal item 16</t>
  </si>
  <si>
    <t>17.1</t>
  </si>
  <si>
    <t>Limpeza geral da obra</t>
  </si>
  <si>
    <t>Subtotal item 17</t>
  </si>
  <si>
    <t>Total do Item B</t>
  </si>
  <si>
    <t>07.01.020</t>
  </si>
  <si>
    <t>Escavação e carga mecanizada em solo de 1ª categoria, em campo aberto</t>
  </si>
  <si>
    <t>Impermeabilização com cimento cristalizante para umidade e água de percolação - Parede do talude</t>
  </si>
  <si>
    <t>15.03.030</t>
  </si>
  <si>
    <t>15.03.140</t>
  </si>
  <si>
    <t>Fornecimento e montagem de estrutura tubular em aço ASTM-A572 Grau 50, sem pintura - Tirante</t>
  </si>
  <si>
    <t>16.12.020</t>
  </si>
  <si>
    <t xml:space="preserve">Telhamento em chapa de aço pré-pintada com epóxi e poliéster, perfil ondulado, com espessura de 0,50 mm - Telhas tipo galvanizada ondulada </t>
  </si>
  <si>
    <t>5.7</t>
  </si>
  <si>
    <t>5.8</t>
  </si>
  <si>
    <t>22.06.210</t>
  </si>
  <si>
    <t>Brise metálico fixo em chapa microperfurada aluzinc pré-pintada</t>
  </si>
  <si>
    <t>Reboco</t>
  </si>
  <si>
    <t xml:space="preserve">Chapisco </t>
  </si>
  <si>
    <t>18.11.042</t>
  </si>
  <si>
    <t>Revestimento em placa cerâmica esmaltada de 20x20 cm, tipo monocolor, assentado e rejuntado com argamassa industrializada - Sanitário P.N.E. (h = 2,00 m)</t>
  </si>
  <si>
    <t>Revestimento em placa cerâmica esmaltada de 20x20 cm, tipo monocolor, assentado e rejuntado com argamassa industrializada - Sanitário feminino (h = 2,00 m)</t>
  </si>
  <si>
    <t>Revestimento em placa cerâmica esmaltada de 20x20 cm, tipo monocolor, assentado e rejuntado com argamassa industrializada - Sanitário masculino (h = 2,00 m)</t>
  </si>
  <si>
    <t>Revestimento em placa cerâmica esmaltada de 20x20 cm, tipo monocolor, assentado e rejuntado com argamassa industrializada -  Fraudário (h = 2,00 m)</t>
  </si>
  <si>
    <t>18.12.020</t>
  </si>
  <si>
    <t>Revestimento em pastilha de porcelana natural ou esmaltada de 5 x 5 cm, assentado e rejuntado com argamassa colante industrializada</t>
  </si>
  <si>
    <t>7.8</t>
  </si>
  <si>
    <t>18.05.020</t>
  </si>
  <si>
    <t>Revestimento em plaqueta laminada, áreas internas e externas, sem rejunte</t>
  </si>
  <si>
    <t>7.9</t>
  </si>
  <si>
    <t>Rejuntamento em placas cerâmicas com argamassa industrializada para rejunte, juntas acima de 5 até 10 mm - Plaquetas laminadas</t>
  </si>
  <si>
    <t>18.08.090</t>
  </si>
  <si>
    <t>Revestimento em porcelanato esmaltado acetinado para áreas internas e ambientes com acesso ao exterior, grupo de absorção BIa, resistência química B, assentado com argamassa colante industrializada, rejuntado - Sanitário P.N.E.</t>
  </si>
  <si>
    <t>Revestimento em porcelanato esmaltado acetinado para áreas internas e ambientes com acesso ao exterior, grupo de absorção BIa, resistência química B, assentado com argamassa colante industrializada, rejuntado - Sanitário Feminino</t>
  </si>
  <si>
    <t>Revestimento em porcelanato esmaltado acetinado para áreas internas e ambientes com acesso ao exterior, grupo de absorção BIa, resistência química B, assentado com argamassa colante industrializada, rejuntado - Sanitário Masculino</t>
  </si>
  <si>
    <t>Revestimento em porcelanato esmaltado acetinado para áreas internas e ambientes com acesso ao exterior, grupo de absorção BIa, resistência química B, assentado com argamassa colante industrializada, rejuntado - Fraudário</t>
  </si>
  <si>
    <t>Revestimento em porcelanato esmaltado acetinado para áreas internas e ambientes com acesso ao exterior, grupo de absorção BIa, resistência química B, assentado com argamassa colante industrializada, rejuntado - Portaria</t>
  </si>
  <si>
    <t>18.08.100</t>
  </si>
  <si>
    <t>Rodapé em porcelanato esmaltado acetinado para áreas internas e ambientes com acesso ao exterior, grupo de absorção BIa, resistência química B, assentado com argamassa colante industrializada, rejuntado</t>
  </si>
  <si>
    <t>Piso Externo - Bloco de Concreto intertravado</t>
  </si>
  <si>
    <t>23.09.520</t>
  </si>
  <si>
    <t xml:space="preserve">Porta lisa com batente metálico - 60 x 160 cm - Porta de sanitários </t>
  </si>
  <si>
    <t>26.02.040</t>
  </si>
  <si>
    <t>Vidro temperado incolor de 8 mm - Janelas</t>
  </si>
  <si>
    <t>25.01.040</t>
  </si>
  <si>
    <t>Caixilho em alumínio basculante, sob medida - Janelas</t>
  </si>
  <si>
    <t>26.03.070</t>
  </si>
  <si>
    <t>Vidro laminado temperado incolor de 8mm - Fachadas</t>
  </si>
  <si>
    <t>25.01.430</t>
  </si>
  <si>
    <t>Caixilho em alumínio fixo, tipo fachada</t>
  </si>
  <si>
    <t>Tinta látex antimofo em massa, inclusive preparo - Tinta PVA</t>
  </si>
  <si>
    <t>33.11.010</t>
  </si>
  <si>
    <t>Alumínio em superfície metálica, inclusive preparo - Cancela</t>
  </si>
  <si>
    <t>11.5</t>
  </si>
  <si>
    <t>Barra de apoio reta, para pessoas com mobilidade reduzida, em tubo de aço inoxidável de 1 1/4´x 400 mm - Para portas com acessibilidade/ Lavatório</t>
  </si>
  <si>
    <t>Bacia sifonada com caixa de descarga acoplada sem tampa - 6 litros</t>
  </si>
  <si>
    <t>Peitoril e/ou soleira em granito com espessura de 2 cm e largura até 20 cm - (0,90x0,15m)</t>
  </si>
  <si>
    <t>Peitoril e/ou soleira em granito com espessura de 2 cm e largura até 20 cm - (0,80x0,15m)</t>
  </si>
  <si>
    <t>14.30.020</t>
  </si>
  <si>
    <t>Divisória em placas de granilite com espessura de 3 cm</t>
  </si>
  <si>
    <t>Lavatório de louça para canto sem coluna para pessoas com mobilidade reduzida</t>
  </si>
  <si>
    <t>44.01.200</t>
  </si>
  <si>
    <t>Mictório de louça sifonado auto aspirante</t>
  </si>
  <si>
    <t>Tampo/bancada em granito com espessura de 3 cm - Fraudário</t>
  </si>
  <si>
    <t>Tampo/bancada em granito com espessura de 3 cm - Sanitário Masculino</t>
  </si>
  <si>
    <t>Tampo/bancada em granito com espessura de 3 cm - Sanitário Feminino</t>
  </si>
  <si>
    <t>28.01.070</t>
  </si>
  <si>
    <t>Ferragem completa para porta de box de WC tipo livre/ocupado</t>
  </si>
  <si>
    <t>35.03.030</t>
  </si>
  <si>
    <t>Cancela automática metálica com barreira de alumínio até 3,50 m</t>
  </si>
  <si>
    <t>49.14.030</t>
  </si>
  <si>
    <t>Fossa séptica câmara única com anéis pré-moldados em concreto, diâmetro externo de 2,50 m, altura útil de 4,00 m</t>
  </si>
  <si>
    <t>49.14.060</t>
  </si>
  <si>
    <t>SM-01 Sumidouro - poço absorvente</t>
  </si>
  <si>
    <t>49.13.030</t>
  </si>
  <si>
    <t>Filtro biológico anaeróbio com anéis pré-moldados de concreto diâmetro de 2,40 m - h= 2,00 m</t>
  </si>
  <si>
    <t>14.17</t>
  </si>
  <si>
    <t>14.18</t>
  </si>
  <si>
    <t>50.05.240</t>
  </si>
  <si>
    <t>Luminária para balizamento ou aclaramento de sobrepor completa com lâmpada fluorescente compacta de 9 W</t>
  </si>
  <si>
    <t>15.6</t>
  </si>
  <si>
    <t>15.7</t>
  </si>
  <si>
    <t>C</t>
  </si>
  <si>
    <t>Portaria</t>
  </si>
  <si>
    <t>Total do Item C</t>
  </si>
  <si>
    <t>D</t>
  </si>
  <si>
    <t>12.01.020</t>
  </si>
  <si>
    <t>Broca em concreto armado diâmetro de 20 cm - completa</t>
  </si>
  <si>
    <t>12.06.030</t>
  </si>
  <si>
    <t>Estaca tipo Strauss, diâmetro de 32 cm até 30 t</t>
  </si>
  <si>
    <t>3.13</t>
  </si>
  <si>
    <t>4.5</t>
  </si>
  <si>
    <t>4.6</t>
  </si>
  <si>
    <t>4.7</t>
  </si>
  <si>
    <t>4.8</t>
  </si>
  <si>
    <t>4.9</t>
  </si>
  <si>
    <t>Impermeabilização com cimento cristalizante para umidade e água de percolação - Laje/ Duto de água/ Espelho D'Água</t>
  </si>
  <si>
    <t>4.10</t>
  </si>
  <si>
    <t>Concreto usinado, fck = 20,0 MPa - para bombeamento - Contrapiso/ Espelho D´Água</t>
  </si>
  <si>
    <t>4.11</t>
  </si>
  <si>
    <t>10.02.020</t>
  </si>
  <si>
    <t>Armadura em tela soldada de aço - Armação para espelho D'Água</t>
  </si>
  <si>
    <t>4.12</t>
  </si>
  <si>
    <t>4.13</t>
  </si>
  <si>
    <t>09.04.050</t>
  </si>
  <si>
    <t>Forma em tubo de papelão com diâmetro de 40 cm</t>
  </si>
  <si>
    <t>4.14</t>
  </si>
  <si>
    <t>4.15</t>
  </si>
  <si>
    <t>Concreto usinado, fck = 25,0 MPa - para bombeamento - Laje Maciça para abrigo</t>
  </si>
  <si>
    <t>4.16</t>
  </si>
  <si>
    <t>Armadura em barra de aço CA-50 (A ou B) fyk= 500 Mpa - Laje Maciça</t>
  </si>
  <si>
    <t>4.17</t>
  </si>
  <si>
    <t>Armadura em barra de aço CA-60 (A ou B) fyk= 600 Mpa - Laje Maciça</t>
  </si>
  <si>
    <t>4.18</t>
  </si>
  <si>
    <t>09.02.130</t>
  </si>
  <si>
    <t>Forma plana em compensado para estrutura convencional com cimbramento tubular metálico</t>
  </si>
  <si>
    <t>4.19</t>
  </si>
  <si>
    <t>Concreto usinado, fck = 20,0 MPa - para bombeamento - Lavatório coletivo</t>
  </si>
  <si>
    <t>18.11.022</t>
  </si>
  <si>
    <t>18.11.002</t>
  </si>
  <si>
    <t>Revestimento em placa cerâmica esmaltada de 5x5 cm, assentado e rejuntado com argamassa industrializada</t>
  </si>
  <si>
    <t>Placa cerâmica esmaltada PEI-4 para área interna, grupo de absorção BIIa, resistência química A, assentado com argamassa colante industrializada</t>
  </si>
  <si>
    <t>18.06.410</t>
  </si>
  <si>
    <t>24.02.070</t>
  </si>
  <si>
    <t>Porta de ferro de abrir tipo veneziana, linha comercial</t>
  </si>
  <si>
    <t xml:space="preserve">Vidro temperado incolor de 10 mm </t>
  </si>
  <si>
    <t xml:space="preserve">Caixilho em alumínio fixo, tipo fachada </t>
  </si>
  <si>
    <t>Tinta acrílica em massa, inclusive preparo</t>
  </si>
  <si>
    <t>33.10.100</t>
  </si>
  <si>
    <t>Textura acrílica para uso interno / externo, inclusive preparo</t>
  </si>
  <si>
    <t>33.02.080</t>
  </si>
  <si>
    <t>Massa corrida à base de resina acrílica</t>
  </si>
  <si>
    <t>11.6</t>
  </si>
  <si>
    <t>33.11.020</t>
  </si>
  <si>
    <t>Esmalte em superfície metálica, inclusive preparo</t>
  </si>
  <si>
    <t>46.07.020</t>
  </si>
  <si>
    <t>Tubo de ferro galvanizado DN= 3/4´, inclusive conexões</t>
  </si>
  <si>
    <t>Peitoril e/ou soleira em granito com espessura de 2 cm e largura até 20 cm</t>
  </si>
  <si>
    <t xml:space="preserve">Instalação Elétrica </t>
  </si>
  <si>
    <t>Instalação Hidráulica</t>
  </si>
  <si>
    <t>46.01.070</t>
  </si>
  <si>
    <t>Tubo de PVC rígido soldável marrom, DN= 75 mm, (2 1/2´), inclusive conexões</t>
  </si>
  <si>
    <t>47.01.070</t>
  </si>
  <si>
    <t>Registro de gaveta em latão fundido sem acabamento, DN= 2 1/2´</t>
  </si>
  <si>
    <t>Total do Item D</t>
  </si>
  <si>
    <t>02.10.050</t>
  </si>
  <si>
    <t>Locação para muros, cercas e alambrados</t>
  </si>
  <si>
    <t>06.01.020</t>
  </si>
  <si>
    <t>Escavação manual em solo de 1ª e 2ª categoria em campo aberto</t>
  </si>
  <si>
    <t>11.01.100</t>
  </si>
  <si>
    <t>Concreto usinado, fck = 20,0 Mpa - Baldrame</t>
  </si>
  <si>
    <t>Armadura em barra de aço CA-50 (A ou B) fyk= 500 Mpa - Baldrame</t>
  </si>
  <si>
    <t>Armadura em barra de aço CA-60 (A ou B) fyk= 600 Mpa - Baldrame</t>
  </si>
  <si>
    <t>11.16.020</t>
  </si>
  <si>
    <t>Lançamento, espalhamento e adensamento de concreto ou massa em lastro e/ou enchimento - Baldrames e Blocos de fundação</t>
  </si>
  <si>
    <t>09.01.020</t>
  </si>
  <si>
    <t>Forma para baldrame</t>
  </si>
  <si>
    <t>Concreto usinado, fck = 20,0 Mpa - Blocos de fundação</t>
  </si>
  <si>
    <t>Armadura em barra de aço CA-50 (A ou B) fyk= 500 Mpa - Blocos de fundação</t>
  </si>
  <si>
    <t>Armadura em barra de aço CA-60 (A ou B) fyk= 600 Mpa - Blocos de fundação</t>
  </si>
  <si>
    <t>Fechamento</t>
  </si>
  <si>
    <t>34.05.050</t>
  </si>
  <si>
    <t>Cerca em tela de aço galvanizado de 2´, montantes em mourões de concreto com ponta inclinada e arame farpado</t>
  </si>
  <si>
    <t>24.02.040</t>
  </si>
  <si>
    <t>Porta/portão tipo gradil sob medida</t>
  </si>
  <si>
    <t>Cercamento</t>
  </si>
  <si>
    <t>E</t>
  </si>
  <si>
    <t>Total do Item E</t>
  </si>
  <si>
    <t>Contrapartida da Prefeitura</t>
  </si>
  <si>
    <t>Revestimento em aço inoxidável AISI 304, liga 18,8, chapa 20, com espessura de 1 mm, acabamento escovado com grana especial -  Portas com acessibilidade</t>
  </si>
  <si>
    <t>Tubo de PVC rígido branco, pontas lisas, soldável, linha esgoto série normal, DN= 40 mm, inclusive conexões</t>
  </si>
  <si>
    <t>Luminária retangular pendente tipo calha aberta instalação em perfilado para 2 lâmpadas fluorescentes tubulares de 32/36W</t>
  </si>
  <si>
    <t>Rodapé em placa cerâmica esmaltada PEI-4 para áreas internas, grupo de absorção BIIa, resistência química A, assentado com argamassa colante industrializada</t>
  </si>
  <si>
    <t>Abrigo Fonte e Chafariz</t>
  </si>
  <si>
    <t>32.06.350</t>
  </si>
  <si>
    <t>Membrana isolante térmica e impermeabilizante, acabamento em alumínio e coating acrílico</t>
  </si>
  <si>
    <t>30.04.020</t>
  </si>
  <si>
    <t>Revestimento em borracha sintética colorida de 5,0 mm, para sinalização tátil de alerta / direcional - colado</t>
  </si>
  <si>
    <t>F</t>
  </si>
  <si>
    <t>Total do Item F</t>
  </si>
  <si>
    <t>G</t>
  </si>
  <si>
    <t>Total do Item G</t>
  </si>
  <si>
    <t>COT/2018</t>
  </si>
  <si>
    <t>1.0</t>
  </si>
  <si>
    <t>Aquisição de mudas</t>
  </si>
  <si>
    <t>Rodapé em placa cerâmica esmaltada PEI-5 para área interna, grupo de absorção BIIb, resistência química B, assentado com argamassa colante industrializada - Escritório/ Administração/ Copa</t>
  </si>
  <si>
    <t>Revestimento em placa cerâmica esmaltada de 10x10 cm, assentado e rejuntado com argamassa industrializada</t>
  </si>
  <si>
    <t>02.09.040</t>
  </si>
  <si>
    <t>Limpeza mecanizada do terreno, inclusive troncos até 15 cm de diâmetro, com caminhão à disposição, dentro e fora da obra, com transporte no raio de até 1,0 km</t>
  </si>
  <si>
    <t>41.11.090</t>
  </si>
  <si>
    <t>Barragem</t>
  </si>
  <si>
    <t>41.10.430</t>
  </si>
  <si>
    <t>41.11.060</t>
  </si>
  <si>
    <t>8.12</t>
  </si>
  <si>
    <t>Data: Abril/ 2018</t>
  </si>
  <si>
    <t>Data: Abril/2018</t>
  </si>
  <si>
    <t>(196,3+335,2+265,5+156,4+215,4+20,2+57,4+50,5) = 1296,90 m</t>
  </si>
  <si>
    <t>(1296,90*0,15*0,1) + 34,58 = 54,04 m³</t>
  </si>
  <si>
    <t>(0,15*0,3*1296,9) = 58,36 m³</t>
  </si>
  <si>
    <t>(58,36*70) = 4085,24 Kg</t>
  </si>
  <si>
    <t>(58,36*10) = 583,61 Kg</t>
  </si>
  <si>
    <t>(58,36+34,58) = 92,94 m³</t>
  </si>
  <si>
    <t>(100*0,3*2) = 60,00 m²</t>
  </si>
  <si>
    <t>((1296,9/2,4)*0,4*0,4*0,4) = 34,58 m³</t>
  </si>
  <si>
    <t>(34,58*60) = 2075,04 Kg</t>
  </si>
  <si>
    <t>(34,58*12) = 415,01 Kg</t>
  </si>
  <si>
    <t>(6*2,9) = 17,40 m²</t>
  </si>
  <si>
    <t>Postes de iluminação pública.</t>
  </si>
  <si>
    <t>Área total coberta da edificação.</t>
  </si>
  <si>
    <t>Mobilização de material para local de execução.</t>
  </si>
  <si>
    <t>(0,2*0,3*57,38) = 3,44 m³</t>
  </si>
  <si>
    <t xml:space="preserve">(0,2*0,3*57,38*80,00) = 275,42 Kg </t>
  </si>
  <si>
    <t>(0,2*0,3*57,38*14,00) = 48,20 Kg</t>
  </si>
  <si>
    <t>(0,5*0,5*0,4*26) = 2,60 m³</t>
  </si>
  <si>
    <t>(0,5*0,5*0,4*25) = 2,60 m³</t>
  </si>
  <si>
    <t>(0,5*0,5*0,4*26*80,00) = 208,00 Kg</t>
  </si>
  <si>
    <t>(0,5*0,5*0,4*26*14,00) = 36,40 Kg</t>
  </si>
  <si>
    <t>(((0,2*57,38)+(0,5*0,5))*0,03) = 0,35 m³</t>
  </si>
  <si>
    <t>((0,15*0,25*6*10)+(0,15*0,25*3*16)) = 4,05 m³</t>
  </si>
  <si>
    <t>(((0,15*0,25*6*10)+(0,15*0,25*3*16))*80,00) = 324,00 Kg</t>
  </si>
  <si>
    <t>(((0,15*0,25*6*10)+(0,15*0,25*3*16))*14,00) = 56,70 Kg</t>
  </si>
  <si>
    <t>((0,15*0,3*75,98)+(0,08*0,3*11,93)) = 3,71 m³</t>
  </si>
  <si>
    <t>(((0,15*0,3*75,98)+(0,08*0,3*11,93))*80,00) = 296,43 Kg</t>
  </si>
  <si>
    <t>(((0,15*0,3*75,98)+(0,08*0,3*11,93))*14,00) = 51,88 Kg</t>
  </si>
  <si>
    <t>(18,2+21,85+24,61+2,84+11,85) = 79,35 m²</t>
  </si>
  <si>
    <t>(24,09+7,37) = 31,46 m²</t>
  </si>
  <si>
    <t>(99,8*0,05) = 4,99 m³</t>
  </si>
  <si>
    <t>(0,25*2*20) =10,00 m²</t>
  </si>
  <si>
    <t>(4,05+3,71+4,99) = 12,75 m³</t>
  </si>
  <si>
    <t>((5,65*2)+(2,57*2)+1,9+2,4+0,9+1,2+2+1,6+(1,75*2)+(0,5*2))*0,15*0,15 = 0,70 m³</t>
  </si>
  <si>
    <t>((57,38*0,15*0,2)*1,3) = 2,24 m³</t>
  </si>
  <si>
    <t>((46,8*2,6)+(25,53*2,2)) = 177,85 m²</t>
  </si>
  <si>
    <t>((57,38*0,55)+(46,78*1,5)) = 101,73 m²</t>
  </si>
  <si>
    <t>(57,38*0,4) = 22,95 m²</t>
  </si>
  <si>
    <t>((99,8-31,46)*1,077) = 73,60 m²</t>
  </si>
  <si>
    <t>Cobertura sobre a garagem.</t>
  </si>
  <si>
    <t>Água sobre entrada principal</t>
  </si>
  <si>
    <t>(6,8+3,5+5,5+2,23+4,4+6,7) = 29,13 m</t>
  </si>
  <si>
    <t>(3,10+3,10) = 6,20 m</t>
  </si>
  <si>
    <t>(32,08*1,077) = 34,55 m²</t>
  </si>
  <si>
    <t>(46,78*2,6*2)+(25,53*2,2)+79,35 = 378,77 m²</t>
  </si>
  <si>
    <t>((7,1*2)-(0,9*2)-(0,2*1)) = 12,20 m²</t>
  </si>
  <si>
    <t>((5,84*2)-(0,8*2)-(0,8*0,2)) = 9,92 m²</t>
  </si>
  <si>
    <t>((9,95*2)-(0,8*2)-(1,2*1)) = 17,10 m²</t>
  </si>
  <si>
    <t>((3,19*2)-(0,8*2)) = 4,78 m²</t>
  </si>
  <si>
    <t>(12,20+9,92+17,10+4,78) = 44,00 m²</t>
  </si>
  <si>
    <t>(((2,3+1,9)*1,5/2)+(1,62*0,93/2)) = 3,90 m²</t>
  </si>
  <si>
    <t>(((1,7+0,8)*1,77/2)+(1,83*0,7/2)) = 2,85 m²</t>
  </si>
  <si>
    <t>(1,9+1,5+2,3+0,93+1,62+0,81+1,77+1,7+0,7+1,83-1,6) = 13,46 m</t>
  </si>
  <si>
    <t>(3,90+2,85+101,33) = 108,09 m²</t>
  </si>
  <si>
    <t>(13,46+53,42) = 66,88 m²</t>
  </si>
  <si>
    <t>(50,21+43,61+((2,31+1,72)*2,5/2)+(2,2*2,25/2)) = 101,33 m²</t>
  </si>
  <si>
    <t>(43,61+0,93+1,72+2,5+2,31+2,35) = 53,42 m</t>
  </si>
  <si>
    <t>(65,55*1,00) = 65,55 m²</t>
  </si>
  <si>
    <t>Área externa do pavimento térreo.</t>
  </si>
  <si>
    <t>Perímetro externo.</t>
  </si>
  <si>
    <t>Porta de sanitário P.N.E.</t>
  </si>
  <si>
    <t>Portas de banheiro, salas e copa.</t>
  </si>
  <si>
    <t>Porta de banheiro Escritório.</t>
  </si>
  <si>
    <t>1,8*2,5 = 4,50 m²</t>
  </si>
  <si>
    <t>(1*0,8*0,8)+(1*0,4*2,2)+(1*1,7*1,6)+(1*2,57*2,2)+(2*2,45*2,2)+ (1*1,9*0,8)+(1*1,3*0,8)+(1*1*0,8) = 24,03 m²</t>
  </si>
  <si>
    <t>4,50+24,03 = 28,53 m²</t>
  </si>
  <si>
    <t>306,76-74,47 = 232,29 m²</t>
  </si>
  <si>
    <t>378,77-232,29 = 146,48 m²</t>
  </si>
  <si>
    <t>(0,9*2,1*2)+(0,8*2,1*4)+(0,7*2,1*2) = 13,44 m²</t>
  </si>
  <si>
    <t>Banheiro P.N.E.</t>
  </si>
  <si>
    <t>Ambos os banheiros.</t>
  </si>
  <si>
    <t>(1*1)+(1*1) = 2,00 m²</t>
  </si>
  <si>
    <t>Banheiro Escritório.</t>
  </si>
  <si>
    <t>(0,9*1)+(0,8*3) = 3,30 m²</t>
  </si>
  <si>
    <t>((2,31+1,8)*0,6) = 2,47 m²</t>
  </si>
  <si>
    <t>(0,9*0,6) = 0,54 m²</t>
  </si>
  <si>
    <t>Entrada social.</t>
  </si>
  <si>
    <t>Torneira para copa.</t>
  </si>
  <si>
    <t>Cuba para copa.</t>
  </si>
  <si>
    <t>Tanque para lavanderia.</t>
  </si>
  <si>
    <t>Torneira para lavanderia.</t>
  </si>
  <si>
    <t>Torneira de uso geral.</t>
  </si>
  <si>
    <t>Luminárias sob laje.</t>
  </si>
  <si>
    <t>Luminárias em forro.</t>
  </si>
  <si>
    <t>(8*2)+4 = 20,00 unidades.</t>
  </si>
  <si>
    <t>(4*2) = 8,00 unidades.</t>
  </si>
  <si>
    <t>Arandelas de parede.</t>
  </si>
  <si>
    <t>Quadro de luz.</t>
  </si>
  <si>
    <t>Disjuntor de entrada de energia.</t>
  </si>
  <si>
    <t>Disjuntor de distribuição de energia.</t>
  </si>
  <si>
    <t>(4+1+2+5+19+2) = 33 unidades.</t>
  </si>
  <si>
    <t>Luminárias de sobrepor.</t>
  </si>
  <si>
    <t>Interruptor para luminárias.</t>
  </si>
  <si>
    <t>Tomadas de uso geral.</t>
  </si>
  <si>
    <t>Tomadas para ar-condicionado.</t>
  </si>
  <si>
    <t>(0,403*3) = 1,21 Kg</t>
  </si>
  <si>
    <t>(4+4+15) = 23,00 m</t>
  </si>
  <si>
    <t>Reservatório sobre laje.</t>
  </si>
  <si>
    <t>(15+10,2+2+8) = 35,20 m</t>
  </si>
  <si>
    <t>(2,2+2,8) = 5,00 m</t>
  </si>
  <si>
    <t>(1+2,5+1+2,5+1+1,5+1+2) = 12,50 m</t>
  </si>
  <si>
    <t>(4,5+2+5+7+45) = 63,50 m</t>
  </si>
  <si>
    <t>Caixa de passagem/ inspeção</t>
  </si>
  <si>
    <t>Ralos para drenagem.</t>
  </si>
  <si>
    <t>Caixas sifonadas.</t>
  </si>
  <si>
    <t>Caixa de gordura para copa.</t>
  </si>
  <si>
    <t>Torneira para caixa d'água</t>
  </si>
  <si>
    <t>Registro com acabamento.</t>
  </si>
  <si>
    <t>Registro para manutenção.</t>
  </si>
  <si>
    <t>Extintor de água.</t>
  </si>
  <si>
    <t>Extintor de pó químico.</t>
  </si>
  <si>
    <t>Iluminação de emergência.</t>
  </si>
  <si>
    <t>Sinalização de extintores.</t>
  </si>
  <si>
    <t>((4*0,25)+(5*0,25)) = 2,25 m²</t>
  </si>
  <si>
    <t>(1,80*0,25) = 0,45 m²</t>
  </si>
  <si>
    <t>Climatização escritório.</t>
  </si>
  <si>
    <t>Climatização atendimento ao público.</t>
  </si>
  <si>
    <t>Toda área coberta.</t>
  </si>
  <si>
    <t>((9,1*6,6)*1,3) = 78,08 m³</t>
  </si>
  <si>
    <t>(79,5*0,3) = 23,85 m³</t>
  </si>
  <si>
    <t>Área coberta da edificação.</t>
  </si>
  <si>
    <t>Uma unidade por quatro meses.</t>
  </si>
  <si>
    <t>Mobilização para execução de fundação.</t>
  </si>
  <si>
    <t>((3+3+3+3+6,05+6,05+2,5+4,7+1,9+1,65+2,5+1,9+1,5+2,5+6,6)*0,2*0,3) = 2,99 m³</t>
  </si>
  <si>
    <t>(((3+3+3+3+6,05+6,05+2,5+4,7+1,9+1,65+2,5+1,9+1,5+2,5+6,6)*0,2*0,3)*80,00) = 239,28 Kg</t>
  </si>
  <si>
    <t>(((3+3+3+3+6,05+6,05+2,5+4,7+1,9+1,65+2,5+1,9+1,5+2,5+6,6)*0,2*0,3)*14,00) = 41,87 Kg</t>
  </si>
  <si>
    <t>((0,5*0,5*0,4*12)+(0,5*1,4*0,4*4)) = 2,32 m³</t>
  </si>
  <si>
    <t>(((0,5*0,5*0,4*12)+(0,5*1,4*0,4*4))*80,00) = 185,60 Kg</t>
  </si>
  <si>
    <t>(((0,5*0,5*0,4*12)+(0,5*1,4*0,4*4))*14,00) = 32,48 Kg</t>
  </si>
  <si>
    <t>(((49,85*0,2)+(0,5*0,5*12))*0,03) = 0,39 m³</t>
  </si>
  <si>
    <t>((0,15*0,25*2,5*3) + (0,15*0,25*3,12*2) + (0,15*0,25*4*3,7) + (0,15*0,25*3*4,26) + (0,15*0,25*1*9,4) + (0,15*0,25*2*8,64) + (0,15*0,25*1*7,75))  = 2,84 m³</t>
  </si>
  <si>
    <t>(((0,15*0,25*2,5*3)+(0,15*0,25*3,12*2)+(0,15*0,25*4*3,7)+(0,15*0,25*3*4,26)+(0,15*0,25*1*9,4)+(0,15*0,25*2*8,64)+(0,15*0,25*1*7,75))*80,00) = 227,25 Kg</t>
  </si>
  <si>
    <t>(((0,15*0,25*2,5*3)+(0,15*0,25*3,12*2)+(0,15*0,25*4*3,7)+(0,15*0,25*3*4,26)+(0,15*0,25*1*9,4)+(0,15*0,25*2*8,64)+(0,15*0,25*1*7,75))*14,00) = 39,77 Kg</t>
  </si>
  <si>
    <t>((6,05+3,55+6,05+1,9+6,6+4,7+2,5+2,23+2,5+1,5+12+12)*0,15*0,35) = 3,23 m³</t>
  </si>
  <si>
    <t>(((6,05+3,55+6,05+1,9+6,6+4,7+2,5+2,23+2,5+1,5+12+12)*0,15*0,35)* 80,00) = 258,64 Kg</t>
  </si>
  <si>
    <t>(((6,05+3,55+6,05+1,9+6,6+4,7+2,5+2,23+2,5+1,5+12+12)*0,15*0,35)* 14,00) = 45,26 Kg</t>
  </si>
  <si>
    <t>(((2,39*4)+((1,724+3,5+1,6+2,2)*2)+(0,8*4)+0,9)*0,15*0,15) = 0,71 m³</t>
  </si>
  <si>
    <t>((3*3)+(4,55*3)+(36,5*1,077)) = 61,96 m²</t>
  </si>
  <si>
    <t>(4,55*3) = 13,65 m²</t>
  </si>
  <si>
    <t>(0,25*2,5*10) = 6,25 m²</t>
  </si>
  <si>
    <t>(2,84+3,23+1,63) = 7,70 m³</t>
  </si>
  <si>
    <t>((6,05+3,55+6,05+1,9+6,6+4,7+2,5+2,23+2,5+1,5+12)*0,2*0,15) = 1,49 m³</t>
  </si>
  <si>
    <t>(6,6*2,6) = 17,16 m²</t>
  </si>
  <si>
    <t>((6,05+3,55+6,05+1,9+6,6+4,7+2,5+2,23+2,5+1,5+12)*0,4) = 19,83 m²</t>
  </si>
  <si>
    <t>(6,9*9,55) = 65,90 Kg</t>
  </si>
  <si>
    <t>((73,39+31,93)*1,077) = 113,43 m²</t>
  </si>
  <si>
    <t>(1,38+1,37) = 2,75 m</t>
  </si>
  <si>
    <t>(2,1*6,6) = 13,86 m²</t>
  </si>
  <si>
    <t>(6,6+6,6) = 13,20 m</t>
  </si>
  <si>
    <t>(4,5+4,5+3+3+6,6) = 21,60 m</t>
  </si>
  <si>
    <t>(2,1+2,6) = 4,70 m</t>
  </si>
  <si>
    <t>(87,16-9,13) = 78,03 m²</t>
  </si>
  <si>
    <t>((161,90*2)+61,96+19,83) = 405,59 m²</t>
  </si>
  <si>
    <t>(((1,9+1,724+1,9+1,724)*2)-(0,9*2,1)) = 12,61 m²</t>
  </si>
  <si>
    <t>(((3,82+1,92+1,92+3,82)*2)-(0,8*2,1)) = 21,28 m²</t>
  </si>
  <si>
    <t>(((2,6+4,15+1,92+2,65+1,5)*2)-(0,8*2,1)) = 23,96 m²</t>
  </si>
  <si>
    <t>(((2,23+2,23+2,5+2,5)*2)-(0,8*2,1)) = 17,24 m²</t>
  </si>
  <si>
    <t>((3,55*2,5)+(2,5*2,5)) = 15,13 m²</t>
  </si>
  <si>
    <t>(((9,8+8,75)*3/2)*2)+(((8,75+8)*3/2)*2)-(2,35*3,2*2)-(0,8*2,1) = 89,18 m²</t>
  </si>
  <si>
    <t>(1,724*1,9) = 3,28 m²</t>
  </si>
  <si>
    <t>(3,82*1,92) = 7,33 m²</t>
  </si>
  <si>
    <t>((2,6*1,5)+(2,65*1,92)) = 8,99 m²</t>
  </si>
  <si>
    <t>(2,23*2,5) = 5,58 m²</t>
  </si>
  <si>
    <t>(2,72*2,72) = 7,40 m²</t>
  </si>
  <si>
    <t>(((1,724+1,9)*2)+((3,82+1,92)*2)+2,6+1,5+1,5+1,92+0,7+(2,65*2)+((2,23 + 2,5)*2)+((2,72+2,72)*2)-(0,8*4)-0,9) = 48,49 m</t>
  </si>
  <si>
    <t>Área externa com bloco de concreto intertravado.</t>
  </si>
  <si>
    <t>Porta banheiro P.N.E.</t>
  </si>
  <si>
    <t>Porta banheiros/ Portaria/ Fraudário.</t>
  </si>
  <si>
    <t>Porta sanitários.</t>
  </si>
  <si>
    <t>((1,72*1,82/2)+(3,5*1,1/2)+(2,2*1,3/2)+(1,6*0,6/2)+(2,35*3,2)) = 12,92 m²</t>
  </si>
  <si>
    <t>((((9,65*3,1/2)+((3,45+3,1)*1,65/2)+((2,1+1,6)*1,85/2)+(1,6*3,85/2))*2) + ((6,2+4,15)*3,95/2)+(6,2*1,7)-(1,1*2,5)-14) = 67,96 m²</t>
  </si>
  <si>
    <t>(405,59-12,61-21,28-23,96-17,24-15,13-89,18) = 226,20 m²</t>
  </si>
  <si>
    <t>(3+3+(3*4,45)+(3*4,45)-(0,8*2,1)) = 31,02 m²</t>
  </si>
  <si>
    <t>(226,20-31,02) = 195,18 m²</t>
  </si>
  <si>
    <t>((0,1*3,5)+0,1) = 0,45 m²</t>
  </si>
  <si>
    <t>((0,9*2,1*2)+(0,8*2,1*8)) = 17,22 m²</t>
  </si>
  <si>
    <t>(0,9*0,4*2) = 0,72 m²</t>
  </si>
  <si>
    <t>Sanitários.</t>
  </si>
  <si>
    <t>((2,2+1,7+1,2)*1)+(0,5*1) = 5,60 m²</t>
  </si>
  <si>
    <t>(0,90*1) = 0,90 m</t>
  </si>
  <si>
    <t>(0,8*4) = 3,20 m</t>
  </si>
  <si>
    <t>Sanitário masculino.</t>
  </si>
  <si>
    <t>(0,8*3,9) = 3,12 m²</t>
  </si>
  <si>
    <t>(1,7*0,7) = 1,19 m²</t>
  </si>
  <si>
    <t>((1,7*0,7)+((0,7+0,2)*0,55/2)) = 1,44 m²</t>
  </si>
  <si>
    <t>Controle de entrada pública.</t>
  </si>
  <si>
    <t>Luminárias sobre laje.</t>
  </si>
  <si>
    <t>Luminárias pendentes.</t>
  </si>
  <si>
    <t>((8,00*2,00)+5,00) = 21,00 unidades.</t>
  </si>
  <si>
    <t>(4,00*2,00) = 8,00 unidades.</t>
  </si>
  <si>
    <t>Quandro de luz.</t>
  </si>
  <si>
    <t>Disjuntor de entrada.</t>
  </si>
  <si>
    <t>Disjuntor de distribuição.</t>
  </si>
  <si>
    <t>(2,00+7,00+13,00+2,00) = 24,00 unidades.</t>
  </si>
  <si>
    <t>Caixas para laje.</t>
  </si>
  <si>
    <t>Luminárias.</t>
  </si>
  <si>
    <t>Tomadas especiais.</t>
  </si>
  <si>
    <t>Controle da portaria.</t>
  </si>
  <si>
    <t>Armazenamento/ Tratamento de esgoto.</t>
  </si>
  <si>
    <t>(4,4+8+9+6+3+3,5+4+4+3,5+2+2) = 49,40 m</t>
  </si>
  <si>
    <t>(6+4,4) = 10,40 m</t>
  </si>
  <si>
    <t>(1,5+1,5+2,5+1,5+1,5) = 8,50 m</t>
  </si>
  <si>
    <t>(1,5+2,5+3+4,5+4,2+5,2+7,6+7,6+4,3+5,3+3) = 48,70 m</t>
  </si>
  <si>
    <t>Caixa de passagem.</t>
  </si>
  <si>
    <t>Torneira para reservatório.</t>
  </si>
  <si>
    <t>Registros com acabamentos.</t>
  </si>
  <si>
    <t>Registros para manutenção.</t>
  </si>
  <si>
    <t>Extintor de água pressurizada.</t>
  </si>
  <si>
    <t>Extintor de pó químico seco.</t>
  </si>
  <si>
    <t>Luminária de emergência.</t>
  </si>
  <si>
    <t>Adesivos de advertência.</t>
  </si>
  <si>
    <t>(4*0,25) = 1,00 m²</t>
  </si>
  <si>
    <t>(5*0,25) = 1,25 m²</t>
  </si>
  <si>
    <t>Ar condicionado para portaria.</t>
  </si>
  <si>
    <t>(((2,4+0,6)*5,2/2)*4,76) = 37,13 m³</t>
  </si>
  <si>
    <t>(92,12*0,3) = 27,64 m³</t>
  </si>
  <si>
    <t>(70,25+21,87) = 92,12 m²</t>
  </si>
  <si>
    <t>(29,09+25,44) = 54,53 m</t>
  </si>
  <si>
    <t>Três unidades de captação.</t>
  </si>
  <si>
    <t>Mobilização de equipamento até local de execução</t>
  </si>
  <si>
    <t>(26*1,5)+(3*2,2) = 45,60 m</t>
  </si>
  <si>
    <t>(25*8) = 200,00 m</t>
  </si>
  <si>
    <t>(2*8) = 16,00 m</t>
  </si>
  <si>
    <t>(0,2*0,25*86,07)+(0,5*0,25*18,32)+(0,2*0,3*49,42) = 9,56 m³</t>
  </si>
  <si>
    <t>((0,2*0,25*86,07)+(0,5*0,25*18,32)+(0,2*0,3*49,42))*80,00 = 764,70 Kg</t>
  </si>
  <si>
    <t>((0,2*0,25*86,07)+(0,5*0,25*18,32)+(0,2*0,3*49,42))*14,00 = 133,82 Kg</t>
  </si>
  <si>
    <t>(0,5*0,5*0,4*11)+(0,5*1,4*0,4*8) = 3,34 m³</t>
  </si>
  <si>
    <t>((0,5*0,5*0,4*11)+(0,5*1,4*0,4*8))*80,00 = 267,20 Kg</t>
  </si>
  <si>
    <t>((0,5*0,5*0,4*11)+(0,5*1,4*0,4*8))*14,00 = 46,76 Kg</t>
  </si>
  <si>
    <t>(((0,2*86,07)+(0,5*18,32)+(0,2*49,42)+(0,5*0,5*11)+(0,5*1,4*8))*0,03) = 1,34 m³</t>
  </si>
  <si>
    <t>(0,15*0,25*3,1*3)+(0,15*0,25*7,18*5)+(0,15*0,45*4,4*5)+(0,15*0,45*2,05)+(0,15*0,45*4,1*2)+(0,15*0,2*0,6*11)+(0,15*0,2*0,5*17)+(0,15*0,2*0,9*1)+(0,13*3,2*1)+(0,13*4,1*1) = 5,30 m³</t>
  </si>
  <si>
    <t>((0,15*0,25*3,1*3)+(0,15*0,25*7,18*5)+(0,15*0,45*4,4*5)+(0,15*0,45*2,05)+(0,15*0,45*4,1*2)+(0,15*0,2*0,6*11)+(0,15*0,2*0,5*17)+(0,15*0,2*0,9*1)+(0,13*3,2*1)+(0,13*4,1*1))*80,00 = 424,07 Kg</t>
  </si>
  <si>
    <t>((0,15*0,25*3,1*3)+(0,15*0,25*7,18*5)+(0,15*0,45*4,4*5)+(0,15*0,45*2,05)+(0,15*0,45*4,1*2)+(0,15*0,2*0,6*11)+(0,15*0,2*0,5*17)+(0,15*0,2*0,9*1)+(0,13*3,2*1)+(0,13*4,1*1))*14,00 = 74,21 Kg</t>
  </si>
  <si>
    <t>(0,15*0,3*19,92)+(0,15*0,3*12,36)+(0,5*0,25*10,41)+(0,08*0,3*9,55) = 2,98 m³</t>
  </si>
  <si>
    <t>((0,15*0,3*19,92)+(0,15*0,3*12,36)+(0,5*0,25*10,41)+(0,08*0,3*9,55))* 80,00 = 238,64 Kg</t>
  </si>
  <si>
    <t>((0,15*0,3*19,92)+(0,15*0,3*12,36)+(0,5*0,25*10,41)+(0,08*0,3*9,55))* 14,00 = 41,76 Kg</t>
  </si>
  <si>
    <t>(0,15*0,15*(1,8+1,8+1,6+2+2+1,5+1,5)) = 0,27 m³</t>
  </si>
  <si>
    <t>(10,46+11,42) = 21,87 m²</t>
  </si>
  <si>
    <t>21,87+(10,55*1,35)+70,25+64,51 = 170,87 m²</t>
  </si>
  <si>
    <t>(17,8*0,05)+(64,51*0,1) = 7,34 m³</t>
  </si>
  <si>
    <t>(1,48*64,51) = 95,47 Kg</t>
  </si>
  <si>
    <t>(0,25*38,73) = 9,68 m²</t>
  </si>
  <si>
    <t>(3,2+4,1) = 7,30 m</t>
  </si>
  <si>
    <t>(5,30+2,98+7,34+4,92) = 20,54 m³</t>
  </si>
  <si>
    <t>(70,25*0,07) = 4,92 m³</t>
  </si>
  <si>
    <t>(70,25*0,07*80,00) = 393,40 Kg</t>
  </si>
  <si>
    <t>(70,25*0,07*14,00) = 68,85 Kg</t>
  </si>
  <si>
    <t>Laje Maciça com cimbramento.</t>
  </si>
  <si>
    <t>(0,0558+0,0774+0,09+0,0152) = 0,24 m³</t>
  </si>
  <si>
    <t>((90,07+49,42)*0,2*0,15) = 4,18 m³</t>
  </si>
  <si>
    <t>(246,40-36,03) = 210,37 m²</t>
  </si>
  <si>
    <t>(14,91*3,1)+(25*0,55)+(86,07*0,5) = 103,01 m²</t>
  </si>
  <si>
    <t>((118,31*0,4)+(20,42*0,4)+(24,17*0,4)) = 65,16 m²</t>
  </si>
  <si>
    <t>Laje Impermeabilizada</t>
  </si>
  <si>
    <t>(2,44+2,44+3,8+3,8) = 12,48 m</t>
  </si>
  <si>
    <t>(436,71-36,03) = 400,68 m²</t>
  </si>
  <si>
    <t>(84,85+32,38+20,08+2,73) = 140,04 m²</t>
  </si>
  <si>
    <t>((6,67+3,43+3,11)*0,7) = 9,25 m²</t>
  </si>
  <si>
    <t>((4,76*2,5)+(2,3*1,3)) = 14,89 m²</t>
  </si>
  <si>
    <t>(3,8+4,76+2,5+2,32+0,15+1,3+2,3) = 17,13 m</t>
  </si>
  <si>
    <t>Área externa de pavimentação com bloco intertravado</t>
  </si>
  <si>
    <t>(1,6*2,2) = 3,52 m²</t>
  </si>
  <si>
    <t>(1,6*0,7)+(1,8*1)+(0,65*1,6*2)+1,16 = 6,16 m²</t>
  </si>
  <si>
    <t>(400,68-69,31) = 331,37m²</t>
  </si>
  <si>
    <t>((10,26*3,2*2)+(6,2*4,4)+(11,92*1,2*2)-(1,5*0,7)-9,25) = 111,25 m²</t>
  </si>
  <si>
    <t>((17,02*3,1)+21,87-3,52-1,8) = 69,31 m²</t>
  </si>
  <si>
    <t>(3,52*2) = 7,04 m²</t>
  </si>
  <si>
    <t>Torneiras para saídas da mina ao público.</t>
  </si>
  <si>
    <t>Vidro da mina.</t>
  </si>
  <si>
    <t>((4,00*2)+5,00) = 13,00 unidades.</t>
  </si>
  <si>
    <t>Arandelas para paredes.</t>
  </si>
  <si>
    <t>Quadro de luz geral.</t>
  </si>
  <si>
    <t>Disjuntor para circuitos.</t>
  </si>
  <si>
    <t>(1,00+3,00+3,00+3,00+5,00) = 15,00 unidades.</t>
  </si>
  <si>
    <t>Pontos sobre lajes.</t>
  </si>
  <si>
    <t>Tomadas para bombas e máquinas elétricas.</t>
  </si>
  <si>
    <t>Reservatório depósito.</t>
  </si>
  <si>
    <t>Terneira para reservatório.</t>
  </si>
  <si>
    <t>Registros de manutenção.</t>
  </si>
  <si>
    <t>Bomba para chafariz.</t>
  </si>
  <si>
    <t>Extintor de pó químico para panes elétricas.</t>
  </si>
  <si>
    <t>Adesivo para extintor.</t>
  </si>
  <si>
    <t>Paisagismo com mudas nativas e exóticas.</t>
  </si>
  <si>
    <t>(3,00+5,50+6,20+3,30) = 18,00 m</t>
  </si>
  <si>
    <t>(99,15+14,80+23,94) = 137,89 m</t>
  </si>
  <si>
    <t>(15,80+22,09+33,50+23,42) = 94,81 m</t>
  </si>
  <si>
    <t>(65,37+196,12+84,67+262,30+306,76) = 915,22 m</t>
  </si>
  <si>
    <t>(6,31+8,10) = 14,41 m</t>
  </si>
  <si>
    <t>(3,45+6,92) = 10,37 m</t>
  </si>
  <si>
    <t>(10,87+9,05+11,13) = 31,05 m</t>
  </si>
  <si>
    <t>(((1,724*1,9)+(3,82*1,92)+(2,6*1,5)+(2,65*1,92)+(2,23*2,5)+(2,72*2,72))* 0,05) = 1,63 m³</t>
  </si>
  <si>
    <t>(3,22+37,00) = 40,22 m</t>
  </si>
  <si>
    <t>(2,13+3,76+7,54) = 13,43 m</t>
  </si>
  <si>
    <t>(29,49+47,42+25,60+35,40+39,00) = 176,91 m</t>
  </si>
  <si>
    <t>(9,66+7,50+5,82) = 22,98 m</t>
  </si>
  <si>
    <t>(34,80+28,94+47,80+11,29) = 122,83 m</t>
  </si>
  <si>
    <t>(246,10+157,69+350,49+431,38) = 1185,66 m</t>
  </si>
  <si>
    <t>(8,87+11,10) = 19,97 m</t>
  </si>
  <si>
    <t>(17,12+21,11) = 38,23 m</t>
  </si>
  <si>
    <t>(14,50+6,80+15,00+35,80+29,64) = 101,74 m</t>
  </si>
  <si>
    <t>(15,60+6,80+3,40+5,60+45,85+51,23+157,63+38,75) = 324,86 m</t>
  </si>
  <si>
    <t>(11,58+3,00+1,80) = 16,38 m</t>
  </si>
  <si>
    <t>(34,78+6,80+17,60+45,40+21,47) = 126,05 m</t>
  </si>
  <si>
    <t>Estacionamento/ Pavimentação Pedestre/ Pavimentação Interna</t>
  </si>
  <si>
    <t>1.5</t>
  </si>
  <si>
    <t>1.6</t>
  </si>
  <si>
    <t>8.13</t>
  </si>
  <si>
    <t>8.14</t>
  </si>
  <si>
    <t>(179,48+281,55+764,30) = 1225,33 m²</t>
  </si>
  <si>
    <t>(1225,33*0,04) = 49,01 m³</t>
  </si>
  <si>
    <t>((0,2*69,05)+(0,1*42,28)+(0,4*10)+(1,2*1,2*3)+2,00) = 28,36 m²</t>
  </si>
  <si>
    <t>(33,00*4,00) = 132,00 unidades.</t>
  </si>
  <si>
    <t>(23,00+23,00+16,76+21,25) = 84,01 m</t>
  </si>
  <si>
    <t>(8,00+5,00+2,00) = 15,00 unidades.</t>
  </si>
  <si>
    <t>(((72,8+15,92)*2)+194,86+261,72) = 634,02 m</t>
  </si>
  <si>
    <t>(72,80+15,92+141,35+208,21) = 438,28 m</t>
  </si>
  <si>
    <t>((84,01+438,28)*0,4*0,5) = 104,46 m³</t>
  </si>
  <si>
    <t>((84,01+438,28)*0,5*0,03) = 7,83 m³</t>
  </si>
  <si>
    <t>Iluminação para alameda.</t>
  </si>
  <si>
    <t>(610,92+589,50+1877,50) = 3077,92 m²</t>
  </si>
  <si>
    <t>(60,82+205,84+98,53+16,33+589,50) = 971,02 m²</t>
  </si>
  <si>
    <t>Canteiro de Obras</t>
  </si>
  <si>
    <t>Serviços Preliminares da Obra</t>
  </si>
  <si>
    <t>Terraplenagem</t>
  </si>
  <si>
    <t>Canalização em Gabiões Caixa e Colchões Reno</t>
  </si>
  <si>
    <t>Aterro ao Tardoz da Estrutura em Gabiões</t>
  </si>
  <si>
    <t>Acabamentos e Conservação Final</t>
  </si>
  <si>
    <t>02.02.130</t>
  </si>
  <si>
    <t>07.05.010</t>
  </si>
  <si>
    <t>05.10.035</t>
  </si>
  <si>
    <t>08.10.108</t>
  </si>
  <si>
    <t>08.05.180</t>
  </si>
  <si>
    <t>05.10.025</t>
  </si>
  <si>
    <t>06.11.040</t>
  </si>
  <si>
    <t>34.02.020</t>
  </si>
  <si>
    <t>Locação de container tipo escritório com 1 vaso sanitário, 1 lavatório e 1 ponto para chuveiro - área mínima de 13,80 m²</t>
  </si>
  <si>
    <t>unid.xmês</t>
  </si>
  <si>
    <t>Escavação e carga mecanizada em solo brejoso ou turfa</t>
  </si>
  <si>
    <t>Transporte de solo brejoso por caminhão para distâncias superiores ao 15° km até o 20° km</t>
  </si>
  <si>
    <t>Gabião tipo caixa em tela metálica, altura de 0,5m, com revestimento liga zinco/alumínio, malha hexagonal 8/10 cm, fio diâmetro 2,7mm, independente do formato ou utilização</t>
  </si>
  <si>
    <t>08.10.109</t>
  </si>
  <si>
    <t>Gabião tipo caixa em tela metálica, altura de 1,0m, com revestimento liga zinco/alumínio, malha hexagonal 8/10 cm, fio diâmetro 2,7mm, independente do formato ou utilização</t>
  </si>
  <si>
    <t>Manta geotêxtil com resistência à tração longitudinal de 10kN/m e transversal de 9kN/m</t>
  </si>
  <si>
    <t>Transporte de solo de 1ª e 2ª categoria por caminhão para distâncias superiores ao 15° km até o 20° km</t>
  </si>
  <si>
    <t>Reaterro manual apiloado sem controle de compactação</t>
  </si>
  <si>
    <t>Plantio de grama batatais em placas (praças e áreas abertas)</t>
  </si>
  <si>
    <t>Considerado 12 meses de execução de obra.</t>
  </si>
  <si>
    <t>(35,00*12,37*1,20) = 519,54 m³</t>
  </si>
  <si>
    <t>(190,00+68,40) = 258,40 m³</t>
  </si>
  <si>
    <t>(100,00*20,50) = 2050,00 m²</t>
  </si>
  <si>
    <t>(11,00*9,19*1,20) = 122,63 m³</t>
  </si>
  <si>
    <t>Tabela de quantitativos em projeto.</t>
  </si>
  <si>
    <t>((4681,06-1814,10)+1780,94) = 4647,90 m²</t>
  </si>
  <si>
    <t>Instalação Elétrica e Telefônica</t>
  </si>
  <si>
    <t>Instalação Hidrosanitária</t>
  </si>
  <si>
    <t>Objeto: Implantação do Jardim Botânico no Distrito de Conceição de Monte Alegre para fins turísticos - Fase 1 - DADETUR 2018</t>
  </si>
  <si>
    <t>Objeto:  Implantação do Jardim Botânico no Distrito de Conceição de Monte Alegre para fins turísticos - Fase 1 - DADETUR 2018</t>
  </si>
  <si>
    <t>(78,03*14,00) = 1092,42 Kg</t>
  </si>
  <si>
    <t>Uma unidade por cinco meses.</t>
  </si>
  <si>
    <t>Uma unidade por oito meses</t>
  </si>
  <si>
    <t>Uma unidade por quatro meses</t>
  </si>
  <si>
    <t>34.01.010</t>
  </si>
  <si>
    <t>Terra vegetal orgânica comum</t>
  </si>
  <si>
    <t>RRT: 6870423</t>
  </si>
  <si>
    <t>(0,50*1,00*1,50*3,00) = 2,25 m³</t>
  </si>
  <si>
    <t>Paisagismo com 210 mudas nativas e exóticas.</t>
  </si>
  <si>
    <t>(0,06*210,00) = 12,60 m³</t>
  </si>
  <si>
    <t>(0,10*210,00) = 21,00 m³</t>
  </si>
  <si>
    <t>Será executado uma limpeza de 0,20 cm para retirada de toda a vegetação existente no local aonde será inundado.</t>
  </si>
  <si>
    <t>DER</t>
  </si>
  <si>
    <t>30.01.40.01</t>
  </si>
  <si>
    <t>Plantio com essências florestais nativas h≤0,60m</t>
  </si>
  <si>
    <t>há</t>
  </si>
  <si>
    <t>Área total = 2,38 há</t>
  </si>
  <si>
    <t>1.7</t>
  </si>
  <si>
    <t>H</t>
  </si>
  <si>
    <t>Acesso Jardim Botânico</t>
  </si>
  <si>
    <t>1.8</t>
  </si>
  <si>
    <t>54.01.210</t>
  </si>
  <si>
    <t>Base de brita graduada</t>
  </si>
  <si>
    <t>54.03.210</t>
  </si>
  <si>
    <t>Camada de rolamento em concreto betuminoso usinado quente - CBUQ</t>
  </si>
  <si>
    <t>Entrada Jardim Botânico</t>
  </si>
  <si>
    <t>Total do Item H</t>
  </si>
  <si>
    <t>46.12.230</t>
  </si>
  <si>
    <t>Meio tubo de concreto, DN= 500mm</t>
  </si>
  <si>
    <t>34.02.040</t>
  </si>
  <si>
    <t>1.9</t>
  </si>
  <si>
    <t>Plantio de grama batatais em placas (jardins e canteiros)</t>
  </si>
  <si>
    <t>49.12.010</t>
  </si>
  <si>
    <t>1.10</t>
  </si>
  <si>
    <t>Boca de lobo simples tipo PMSP com tampa de concreto</t>
  </si>
  <si>
    <t>(175,00*7,00) = 1225,00 m²</t>
  </si>
  <si>
    <t>(175,00*7,00*0,15) = 183,75 m³</t>
  </si>
  <si>
    <t>48.03.138</t>
  </si>
  <si>
    <t>(1966,30+21,84-88,80) = 1899,34 m²</t>
  </si>
  <si>
    <t>1.11</t>
  </si>
  <si>
    <t>1.12</t>
  </si>
  <si>
    <t>Forma em madeira comum para fundação</t>
  </si>
  <si>
    <t>Armadura em barra de aço CA-50 (A ou B) fyk= 500 MPa</t>
  </si>
  <si>
    <t>Armadura em barra de aço CA-60 (A ou B) fyk= 600 MPa</t>
  </si>
  <si>
    <t>Lançamento, espalhamento e adensamento de concreto ou massa em lastro e/ou enchimento</t>
  </si>
  <si>
    <t>1.13</t>
  </si>
  <si>
    <t>Concreto usinado, fck = 25,0 MPa - para bombeamento</t>
  </si>
  <si>
    <t>Uma unidade geral.</t>
  </si>
  <si>
    <t>98.02.210</t>
  </si>
  <si>
    <t>Banco de madeira com encosto e pés em ferro fundido pintado</t>
  </si>
  <si>
    <t>Distribuidos para paisagismo.</t>
  </si>
  <si>
    <t>24.03.320</t>
  </si>
  <si>
    <t>(250,00*0,40)+(120,00*0,40) = 148,00 m³</t>
  </si>
  <si>
    <t>1.14</t>
  </si>
  <si>
    <t>46.01.060</t>
  </si>
  <si>
    <t>(15,00+29,50+42,00+12,50+21,00) = 120,00 m</t>
  </si>
  <si>
    <t>Locação para muros, cercas e alambrados - Todo perímetro do Jardim Botânico</t>
  </si>
  <si>
    <t>Escavação manual em solo de 1ª e 2ª categoria em campo aberto - Baldrame e brocas</t>
  </si>
  <si>
    <t>Cerca em tela de aço galvanizado de 2´, montantes em mourões de concreto com ponta inclinada e arame farpado - Todo o perímetro do Jardim Botânico</t>
  </si>
  <si>
    <t>Porta/portão tipo gradil sob medida - Entrada principal</t>
  </si>
  <si>
    <t>Locação de vias, calçadas, tanques e lagoas - Todas as guias do estacionamento, Pavimentação de pedestres e interna</t>
  </si>
  <si>
    <t>Locação de rede de canalização - Linha de drenagem do estacionamento e do abrigo da fonte.</t>
  </si>
  <si>
    <t>Limpeza mecanizada do terreno, inclusive troncos até 15 cm de diâmetro, com caminhão à disposição, dentro e fora da obra, com transporte no raio de até 1,0 km - Alamedas</t>
  </si>
  <si>
    <t>Regularização e compactação mecanizada de superfície, sem controle do proctor normal - Alamedas</t>
  </si>
  <si>
    <t>Escavação e carga mecanizada em solo de 1ª categoria, em campo aberto - Remoção de solo na região da alameda.</t>
  </si>
  <si>
    <t>Tubo de PVC rígido soldável marrom, DN= 60 mm, (2´), inclusive conexões - Distribuição do reservatório</t>
  </si>
  <si>
    <t>Tubo de concreto (PS-1), DN= 500mm - Linha de drenagem do estacionamento e do abrigo da fonte.</t>
  </si>
  <si>
    <t>Reaterro compactado mecanizado de vala ou cava com compactador - Linha de drenagem do estacionamento e do abrigo da fonte.</t>
  </si>
  <si>
    <t>Gabião tipo caixa em tela metálica, altura de 0,5m, com revestimento liga zinco/alumínio, malha hexagonal 8/10 cm, fio diâmetro 2,7mm, independente do formato ou utilização - Saídas das tubulações de drenagem.</t>
  </si>
  <si>
    <t>Gabião tipo caixa em tela metálica, altura de 1,0m, com revestimento liga zinco/alumínio, malha hexagonal 8/10 cm, fio diâmetro 2,7mm, independente do formato ou utilização - Saída da tubulação de drenagem.</t>
  </si>
  <si>
    <t>Lastro de areia - Estacionamento</t>
  </si>
  <si>
    <t>Bloco diagonal em concreto tipo piso drenante para plantio de grama - 50 x 50 x 10 cm - Estacionamento</t>
  </si>
  <si>
    <t>Plantio de grama esmeralda em placas (jardins e canteiros) - Estacionamento</t>
  </si>
  <si>
    <t>Regularização e compactação mecanizada de superfície, sem controle do proctor normal - Estacionamento</t>
  </si>
  <si>
    <t>Pavimentação em lajota de concreto 35 MPa, espessura 6 cm, tipos: raquete, retangular, sextavado e 16 faces, com rejunte em areia - Entrada de pedestres e pavimentação interna.</t>
  </si>
  <si>
    <t>Esmalte em superfície galvanizada e/ou de alumínio, inclusive preparo - Entrada de pedestres e pavimentação interna.</t>
  </si>
  <si>
    <t>Colocação de placa em suporte de madeira / metálico - solo - Estacionamento.</t>
  </si>
  <si>
    <t>Sinalização vertical em placa de aço galvanizada com pintura em esmalte sintético - Estacionamento.</t>
  </si>
  <si>
    <t>Sinalização horizontal com tinta vinílica ou acrílica - Estacionamento.</t>
  </si>
  <si>
    <t>Pavimentação em lajota de concreto 35 MPa, espessura 6 cm, tipos: raquete, retangular, sextavado e 16 faces, com rejunte em areia - Estacionamento e entrada de serviço.</t>
  </si>
  <si>
    <t>Poste telecônico reto em aço SAE 1010/1020 galvanizado a fogo, altura de 6,00 m - Estacionamento e interno.</t>
  </si>
  <si>
    <t>Luminária fechada para iluminação pública tipo pétala pequena - Estacionamento e interno.</t>
  </si>
  <si>
    <t>Lâmpada de vapor de sódio elipsoidal, base E27 de 70 W - Estacionamento e interno.</t>
  </si>
  <si>
    <t>Reator eletromagnético de alto fator de potência, para lâmpada vapor de sódio 70 W / 220 V - Estacionamento e interno.</t>
  </si>
  <si>
    <t>Eletroduto corrugado em polietileno de alta densidade, DN= 50 mm, com acessórios - Entrada de energia.</t>
  </si>
  <si>
    <t>Cabo de cobre flexível de 25 mm², isolamento 0,6/1kV - isolação HEPR 90°C - Entrada de energia.</t>
  </si>
  <si>
    <t>Caixa de passagem em chapa, com tampa parafusada, 300 x 300 x 120 mm - Estacionamento e interno.</t>
  </si>
  <si>
    <t>Cabo de cobre flexível de 4 mm², isolamento 0,6/1kV - isolação HEPR 90°C - Estacionamento e interno.</t>
  </si>
  <si>
    <t>Eletroduto corrugado em polietileno de alta densidade, DN= 30 mm, com acessórios - Estacionamento e interno.</t>
  </si>
  <si>
    <t>Escavação mecanizada de valas ou cavas com profundidade de até 2,00 m - Estacionamento e interno.</t>
  </si>
  <si>
    <t>Lastro de areia - Estacionamento e interno.</t>
  </si>
  <si>
    <t>Luminária com corpo em tubo de alumínio tipo balizador para uso externo - Alameda.</t>
  </si>
  <si>
    <t>Lâmpada fluorescente compacta "2U", base G-24D-3 de 26 W - Alameda.</t>
  </si>
  <si>
    <t>Fornecimento e montagem de estrutura em aço ASTM-A36, sem pintura - Peso segundo similaridade com o ítem da TCPO 0512S.8.3 - ESTRUTURA de aço para cobertura em shed. - 13ª Edição, Pg. 229.</t>
  </si>
  <si>
    <t>Boca de leão simples tipo PMSP com grelha - Estacionamento e interno.</t>
  </si>
  <si>
    <t>Escavação mecanizada de valas ou cavas com profundidade de até 2,00 m - Linha de drenagem do estacionamento geral</t>
  </si>
  <si>
    <t>46.12.100</t>
  </si>
  <si>
    <t>Tubo de concreto (PA-1), DN= 800mm</t>
  </si>
  <si>
    <t>49.12.110</t>
  </si>
  <si>
    <t>Poço de visita de 1,60 x 1,60 x 1,60 m - tipo PMSP</t>
  </si>
  <si>
    <t>14.10.111</t>
  </si>
  <si>
    <t>Alvenaria de bloco de concreto de vedação de 14 x 19 x 39 cm - classe C</t>
  </si>
  <si>
    <t>2.12</t>
  </si>
  <si>
    <t>2.13</t>
  </si>
  <si>
    <t>2.14</t>
  </si>
  <si>
    <t>2.15</t>
  </si>
  <si>
    <t>2.16</t>
  </si>
  <si>
    <t>46.01.050</t>
  </si>
  <si>
    <t>Tubo de PVC rígido soldável marrom, DN= 50 mm, (1 1/2´), inclusive conexões</t>
  </si>
  <si>
    <t>43.12.400</t>
  </si>
  <si>
    <t>Conjunto motor-bomba (centrífuga) com pré-filtro, autoescorvante, potência de 1,5 cv, trifásico, Hman= 4 a 18 mca, Q= 18,1 a 6,8 m³/h</t>
  </si>
  <si>
    <t>49.05.020</t>
  </si>
  <si>
    <t>Ralo seco em ferro fundido, 100 x 165 x 50 mm, com grelha metálica saída vertical</t>
  </si>
  <si>
    <t>Tubo de PVC rígido branco PxB com virola e anel de borracha, linha esgoto série normal, DN=100 mm, inclusive conexões</t>
  </si>
  <si>
    <t>(2*1*248,8) = 497,60 m³</t>
  </si>
  <si>
    <t>Tubo de concreto (PS-1), DN= 500mm - Linha de drenagem do estacionamento</t>
  </si>
  <si>
    <t>Tubo de concreto (PA-1), DN= 800mm - Estacionamento</t>
  </si>
  <si>
    <t>(16,70+18,10+26,00+27,60+34,10+24,50+6,80) = 153,80 m</t>
  </si>
  <si>
    <t>(41,80+20,10+33,10) = 95,00 m</t>
  </si>
  <si>
    <t>Captação de água do estacionamento.</t>
  </si>
  <si>
    <t>Poço de visita do estacionamento.</t>
  </si>
  <si>
    <t>(1,8*0,1*3)+(3*2,1*0,1)+(0,7*0,1*3)+(3*1,4*0,1)+(1,71*0,1) = 1,97 m³</t>
  </si>
  <si>
    <t>(1,97*80,00) = 157,60 Kg</t>
  </si>
  <si>
    <t>(1,97*14,00) = 27,58 Kg</t>
  </si>
  <si>
    <t>(5,5*2)+2,25 = 13,25 m²</t>
  </si>
  <si>
    <t>(13,25*2) = 26,50 m²</t>
  </si>
  <si>
    <t>(1,8*3)+(0,7*3) = 7,50 m²</t>
  </si>
  <si>
    <t>(0,5*1*1,5*3) = 2,25 m³</t>
  </si>
  <si>
    <t>(1*1*1,5*6) = 9,00 m³</t>
  </si>
  <si>
    <t>(3,90+7,20+4,26) = 15,36 m</t>
  </si>
  <si>
    <t>(5,68+2,00) = 7,68 m</t>
  </si>
  <si>
    <t>(2,00+4,43+2,00+4,43+2,00+3,55+1,50) = 19,91 m</t>
  </si>
  <si>
    <t>(8,52+5,33+8,52+4,97+5,00+1,80) = 34,14 m</t>
  </si>
  <si>
    <t>Ralos para drenagem pluvial</t>
  </si>
  <si>
    <t>Ralo para drenagem espelho d'água.</t>
  </si>
  <si>
    <t>(497,60*0,80) = 398,08 m³</t>
  </si>
  <si>
    <t>(5,5*2,00)+2,25 = 13,25 m²</t>
  </si>
  <si>
    <t>(13,25*2,00) = 26,50 m²</t>
  </si>
  <si>
    <t>(1,80*3,00)+(0,70*3,00) = 7,50 m²</t>
  </si>
  <si>
    <t>(1,00*1,00*1,50*6,00) = 9,00 m³</t>
  </si>
  <si>
    <t>Reservatório metálico cilíndrico horizontal - capacidade de 10.000 litros - Geral para o Jardim Botânco</t>
  </si>
  <si>
    <t>Forma em madeira comum para fundação - Base reservatório.</t>
  </si>
  <si>
    <t>Concreto usinado, fck = 25,0 MPa - para bombeamento - Base reservatório.</t>
  </si>
  <si>
    <t>Armadura em barra de aço CA-50 (A ou B) fyk= 500 Mpa - Base reservatório.</t>
  </si>
  <si>
    <t>Armadura em barra de aço CA-60 (A ou B) fyk= 600 Mpa - Base reservatório.</t>
  </si>
  <si>
    <t>Lançamento, espalhamento e adensamento de concreto ou massa em lastro e/ou enchimento - Base reservatório</t>
  </si>
  <si>
    <t>Lançamento, espalhamento e adensamento de concreto ou massa em lastro e/ou enchimento - Base reservatório.</t>
  </si>
  <si>
    <t>(248,80+54,53+46) = 349,33 m</t>
  </si>
  <si>
    <t>(190,14+32,92+1127,55+1057,60+200,00) = 2608,21 m²</t>
  </si>
  <si>
    <t>(4647,90+1225,33+2608,21) = 8481,44 m²</t>
  </si>
  <si>
    <t>Drenagem Abrigo Fonte e Chafariz.</t>
  </si>
  <si>
    <t>Tubulação de ligação para caixa de disipação.</t>
  </si>
  <si>
    <t>Corrimão tubular em aço galvanizado, diâmetro 2´ - Entrada de pedestres/ pavimentação interna/ barragem.</t>
  </si>
  <si>
    <t>54.06.150</t>
  </si>
  <si>
    <t>11.01.630</t>
  </si>
  <si>
    <t>Execução de perfil extrusado no local - Modelo GS285 IMB - 25,64m/m³ - Todo o Jardim Botânico</t>
  </si>
  <si>
    <t>Concreto usinado, fck = 25,0 MPa - para perfil extrudado - Todo o Jardim Botânico</t>
  </si>
  <si>
    <t>(382,00*0,16) = 61,12 m²</t>
  </si>
  <si>
    <t>Corrimão tubular em aço galvanizado, diâmetro 2´ - Entrada de pedestres/ pavimentação interna/ barragem</t>
  </si>
  <si>
    <t>(0,3*0,4*3) = 0,36 m²</t>
  </si>
  <si>
    <t>Sinalização vertical em placa de aço galvanizada com pintura em esmalte sintético - Vagas especiais estacionamento.</t>
  </si>
  <si>
    <t>Colocação de placa em suporte de madeira / metálico - solo - Vagas especiais estacionamento.</t>
  </si>
  <si>
    <t>(26*8) = 208,00 m</t>
  </si>
  <si>
    <t>(2*5,00) = 10,00 m</t>
  </si>
  <si>
    <t xml:space="preserve">(20*8) = 160,00 </t>
  </si>
  <si>
    <t>(3*5,00) = 15,00 m</t>
  </si>
  <si>
    <t>(1,35*1,80*2)+(0,52*1,80*2)+(1,50*0,50*2) = 8,23 m²</t>
  </si>
  <si>
    <t>Alvenaria de bloco de concreto estrutural 19 x 19 x 39 cm - classe A</t>
  </si>
  <si>
    <t>14.11.271</t>
  </si>
  <si>
    <t>(196,35-48,31) = 148,04 m²</t>
  </si>
  <si>
    <t>(6,60*2,10) = 13,86 m²</t>
  </si>
  <si>
    <t>(2,00*1,00*100,53) = 201,06 m³</t>
  </si>
  <si>
    <t>(201,06*0,80) = 160,85 m³</t>
  </si>
  <si>
    <t>54.03.230</t>
  </si>
  <si>
    <t>Imprimação betuminosa ligante</t>
  </si>
  <si>
    <t>(175,00*2,00) = 350,00 m</t>
  </si>
  <si>
    <t>(124,80+123,20+134,00) = 382,00 m</t>
  </si>
  <si>
    <t>(2451,77/25,64) = 95,62 m³</t>
  </si>
  <si>
    <t>07.12.020</t>
  </si>
  <si>
    <t>Compactação de aterro mecanizado mínimo de 95% PN, sem fornecimento de solo em campo aberto</t>
  </si>
  <si>
    <t>Aterro mecanizado por compensação, solo de 1ª categoria em campo aberto, sem compactação do aterro</t>
  </si>
  <si>
    <t>07.12.040</t>
  </si>
  <si>
    <t>(175,00*7,00*0,30) = 367,50 m³</t>
  </si>
  <si>
    <t>(175,00*7,00*0,05) = 61,25 m³</t>
  </si>
  <si>
    <t>Duas unidades de captação.</t>
  </si>
  <si>
    <t>(5,65*2,50*3) = 42,38 Kg</t>
  </si>
  <si>
    <t>49.14.070</t>
  </si>
  <si>
    <t>Tampão de concreto para sumidouro - diâmetro interno de 2,0 m</t>
  </si>
  <si>
    <t>14.19</t>
  </si>
  <si>
    <t>Vedação do sumidouro.</t>
  </si>
  <si>
    <t>1.15</t>
  </si>
  <si>
    <t>12.01.040</t>
  </si>
  <si>
    <t>Broca em concreto armado diâmetro de 25 cm - completa</t>
  </si>
  <si>
    <t>(6*4,00) = 24,00 m</t>
  </si>
  <si>
    <t>((3,60+3,6-+1,80+1,80)*0,30) = 3,24 m²</t>
  </si>
  <si>
    <t>(3,60*1,80*0,20) = 1,30 m³</t>
  </si>
  <si>
    <t>97.05.140</t>
  </si>
  <si>
    <t>Suporte de perfil metálico galvanizado - Peso de 5,65 Kg/m</t>
  </si>
  <si>
    <t>54.03.240</t>
  </si>
  <si>
    <t>Imprimação betuminosa impermeabilizante</t>
  </si>
  <si>
    <t>(1,30*90,00) = 117,00 Kg</t>
  </si>
  <si>
    <t>(1,30*16,00) = 20,80 Kg</t>
  </si>
</sst>
</file>

<file path=xl/styles.xml><?xml version="1.0" encoding="utf-8"?>
<styleSheet xmlns="http://schemas.openxmlformats.org/spreadsheetml/2006/main">
  <numFmts count="2">
    <numFmt numFmtId="164" formatCode="&quot;R$&quot;\ #,##0.00;[Red]\-&quot;R$&quot;\ #,##0.00"/>
    <numFmt numFmtId="165" formatCode="_-&quot;R$&quot;\ * #,##0.00_-;\-&quot;R$&quot;\ * #,##0.00_-;_-&quot;R$&quot;\ * &quot;-&quot;??_-;_-@_-"/>
  </numFmts>
  <fonts count="6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52" fillId="0" borderId="0" applyFont="0" applyFill="0" applyBorder="0" applyAlignment="0" applyProtection="0"/>
    <xf numFmtId="9" fontId="52" fillId="0" borderId="0" applyFont="0" applyFill="0" applyBorder="0" applyAlignment="0" applyProtection="0"/>
  </cellStyleXfs>
  <cellXfs count="299">
    <xf numFmtId="0" fontId="0" fillId="0" borderId="0" xfId="0"/>
    <xf numFmtId="0" fontId="47" fillId="0" borderId="1" xfId="0" applyFont="1" applyBorder="1"/>
    <xf numFmtId="0" fontId="47" fillId="2" borderId="1" xfId="0" applyFont="1" applyFill="1" applyBorder="1"/>
    <xf numFmtId="0" fontId="48" fillId="0" borderId="6" xfId="0" applyFont="1" applyBorder="1" applyAlignment="1"/>
    <xf numFmtId="0" fontId="48" fillId="0" borderId="8" xfId="0" applyFont="1" applyBorder="1" applyAlignment="1"/>
    <xf numFmtId="0" fontId="48" fillId="0" borderId="2" xfId="0" applyFont="1" applyBorder="1" applyAlignment="1"/>
    <xf numFmtId="0" fontId="47" fillId="0" borderId="1" xfId="0" applyFont="1" applyBorder="1" applyAlignment="1">
      <alignment horizontal="center"/>
    </xf>
    <xf numFmtId="0" fontId="49" fillId="2" borderId="1" xfId="0" applyFont="1" applyFill="1" applyBorder="1"/>
    <xf numFmtId="0" fontId="51" fillId="2" borderId="1" xfId="0" applyFont="1" applyFill="1" applyBorder="1" applyAlignment="1">
      <alignment horizontal="center" vertical="center"/>
    </xf>
    <xf numFmtId="0" fontId="51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/>
    </xf>
    <xf numFmtId="0" fontId="47" fillId="2" borderId="1" xfId="0" applyFont="1" applyFill="1" applyBorder="1" applyAlignment="1">
      <alignment horizontal="left"/>
    </xf>
    <xf numFmtId="0" fontId="47" fillId="0" borderId="1" xfId="0" applyFont="1" applyBorder="1" applyAlignment="1">
      <alignment horizontal="left"/>
    </xf>
    <xf numFmtId="0" fontId="49" fillId="2" borderId="1" xfId="0" applyFont="1" applyFill="1" applyBorder="1" applyAlignment="1">
      <alignment horizontal="center"/>
    </xf>
    <xf numFmtId="0" fontId="49" fillId="0" borderId="1" xfId="0" applyFont="1" applyBorder="1"/>
    <xf numFmtId="0" fontId="47" fillId="2" borderId="1" xfId="0" applyFont="1" applyFill="1" applyBorder="1" applyAlignment="1">
      <alignment horizontal="center"/>
    </xf>
    <xf numFmtId="165" fontId="47" fillId="0" borderId="1" xfId="1" applyFont="1" applyBorder="1"/>
    <xf numFmtId="165" fontId="47" fillId="2" borderId="1" xfId="1" applyFont="1" applyFill="1" applyBorder="1"/>
    <xf numFmtId="165" fontId="49" fillId="2" borderId="1" xfId="1" applyFont="1" applyFill="1" applyBorder="1"/>
    <xf numFmtId="2" fontId="47" fillId="0" borderId="1" xfId="0" applyNumberFormat="1" applyFont="1" applyBorder="1" applyAlignment="1">
      <alignment horizontal="center"/>
    </xf>
    <xf numFmtId="2" fontId="49" fillId="2" borderId="1" xfId="0" applyNumberFormat="1" applyFont="1" applyFill="1" applyBorder="1" applyAlignment="1">
      <alignment horizontal="center"/>
    </xf>
    <xf numFmtId="10" fontId="49" fillId="0" borderId="1" xfId="2" applyNumberFormat="1" applyFont="1" applyBorder="1" applyAlignment="1">
      <alignment horizontal="center"/>
    </xf>
    <xf numFmtId="165" fontId="49" fillId="0" borderId="1" xfId="1" applyFont="1" applyBorder="1"/>
    <xf numFmtId="165" fontId="49" fillId="0" borderId="1" xfId="1" applyFont="1" applyBorder="1" applyAlignment="1">
      <alignment horizontal="center"/>
    </xf>
    <xf numFmtId="165" fontId="0" fillId="0" borderId="0" xfId="0" applyNumberFormat="1"/>
    <xf numFmtId="0" fontId="53" fillId="0" borderId="1" xfId="0" applyFont="1" applyBorder="1" applyAlignment="1">
      <alignment horizontal="left"/>
    </xf>
    <xf numFmtId="164" fontId="47" fillId="0" borderId="0" xfId="0" applyNumberFormat="1" applyFont="1"/>
    <xf numFmtId="0" fontId="47" fillId="0" borderId="1" xfId="0" applyFont="1" applyBorder="1" applyAlignment="1">
      <alignment horizontal="left" wrapText="1"/>
    </xf>
    <xf numFmtId="0" fontId="53" fillId="0" borderId="1" xfId="0" applyFont="1" applyBorder="1" applyAlignment="1">
      <alignment horizontal="left" wrapText="1"/>
    </xf>
    <xf numFmtId="164" fontId="47" fillId="0" borderId="6" xfId="0" applyNumberFormat="1" applyFont="1" applyBorder="1" applyAlignment="1">
      <alignment horizontal="right" vertical="center"/>
    </xf>
    <xf numFmtId="0" fontId="49" fillId="0" borderId="1" xfId="0" applyFont="1" applyBorder="1" applyAlignment="1">
      <alignment horizontal="right" wrapText="1"/>
    </xf>
    <xf numFmtId="0" fontId="49" fillId="0" borderId="1" xfId="0" applyFont="1" applyBorder="1" applyAlignment="1">
      <alignment horizontal="right"/>
    </xf>
    <xf numFmtId="0" fontId="54" fillId="0" borderId="1" xfId="0" applyFont="1" applyBorder="1" applyAlignment="1">
      <alignment horizontal="right" wrapText="1"/>
    </xf>
    <xf numFmtId="0" fontId="51" fillId="0" borderId="6" xfId="0" applyFont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7" xfId="0" applyFont="1" applyBorder="1" applyAlignment="1">
      <alignment horizontal="center"/>
    </xf>
    <xf numFmtId="0" fontId="46" fillId="0" borderId="1" xfId="0" applyFont="1" applyBorder="1"/>
    <xf numFmtId="0" fontId="46" fillId="0" borderId="1" xfId="0" applyFont="1" applyBorder="1" applyAlignment="1">
      <alignment horizontal="center"/>
    </xf>
    <xf numFmtId="0" fontId="46" fillId="0" borderId="1" xfId="0" applyFont="1" applyBorder="1" applyAlignment="1">
      <alignment horizontal="left" wrapText="1"/>
    </xf>
    <xf numFmtId="2" fontId="46" fillId="0" borderId="1" xfId="0" applyNumberFormat="1" applyFont="1" applyBorder="1" applyAlignment="1">
      <alignment horizontal="center"/>
    </xf>
    <xf numFmtId="165" fontId="46" fillId="0" borderId="1" xfId="1" applyFont="1" applyBorder="1"/>
    <xf numFmtId="0" fontId="46" fillId="0" borderId="1" xfId="0" applyFont="1" applyBorder="1" applyAlignment="1">
      <alignment horizontal="left"/>
    </xf>
    <xf numFmtId="0" fontId="45" fillId="0" borderId="1" xfId="0" applyFont="1" applyBorder="1" applyAlignment="1">
      <alignment horizontal="left"/>
    </xf>
    <xf numFmtId="0" fontId="45" fillId="0" borderId="1" xfId="0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0" borderId="1" xfId="0" applyFont="1" applyBorder="1" applyAlignment="1">
      <alignment horizontal="center" wrapText="1"/>
    </xf>
    <xf numFmtId="0" fontId="47" fillId="0" borderId="1" xfId="0" applyFont="1" applyBorder="1" applyAlignment="1">
      <alignment horizontal="center" wrapText="1"/>
    </xf>
    <xf numFmtId="0" fontId="45" fillId="0" borderId="1" xfId="0" applyFont="1" applyBorder="1" applyAlignment="1">
      <alignment horizontal="center" wrapText="1"/>
    </xf>
    <xf numFmtId="2" fontId="47" fillId="0" borderId="1" xfId="0" applyNumberFormat="1" applyFont="1" applyBorder="1" applyAlignment="1">
      <alignment horizontal="center" wrapText="1"/>
    </xf>
    <xf numFmtId="165" fontId="47" fillId="0" borderId="1" xfId="1" applyFont="1" applyBorder="1" applyAlignment="1">
      <alignment wrapText="1"/>
    </xf>
    <xf numFmtId="0" fontId="0" fillId="0" borderId="0" xfId="0" applyAlignment="1">
      <alignment wrapText="1"/>
    </xf>
    <xf numFmtId="2" fontId="53" fillId="0" borderId="1" xfId="0" applyNumberFormat="1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2" fillId="0" borderId="1" xfId="0" applyFont="1" applyBorder="1" applyAlignment="1">
      <alignment horizontal="left" wrapText="1"/>
    </xf>
    <xf numFmtId="0" fontId="53" fillId="0" borderId="1" xfId="0" applyFont="1" applyBorder="1" applyAlignment="1">
      <alignment horizontal="center"/>
    </xf>
    <xf numFmtId="0" fontId="41" fillId="0" borderId="1" xfId="0" applyFont="1" applyBorder="1" applyAlignment="1">
      <alignment horizontal="left"/>
    </xf>
    <xf numFmtId="0" fontId="41" fillId="0" borderId="1" xfId="0" applyFont="1" applyBorder="1" applyAlignment="1">
      <alignment horizontal="center"/>
    </xf>
    <xf numFmtId="165" fontId="49" fillId="2" borderId="1" xfId="0" applyNumberFormat="1" applyFont="1" applyFill="1" applyBorder="1"/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165" fontId="40" fillId="2" borderId="1" xfId="1" applyFont="1" applyFill="1" applyBorder="1" applyAlignment="1">
      <alignment horizontal="center"/>
    </xf>
    <xf numFmtId="0" fontId="49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48" fillId="0" borderId="9" xfId="0" applyFont="1" applyBorder="1" applyAlignment="1"/>
    <xf numFmtId="0" fontId="0" fillId="0" borderId="0" xfId="0" applyBorder="1"/>
    <xf numFmtId="0" fontId="48" fillId="0" borderId="0" xfId="0" applyFont="1" applyBorder="1" applyAlignment="1"/>
    <xf numFmtId="0" fontId="48" fillId="0" borderId="7" xfId="0" applyFont="1" applyBorder="1" applyAlignment="1"/>
    <xf numFmtId="0" fontId="56" fillId="0" borderId="7" xfId="0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0" fontId="56" fillId="0" borderId="6" xfId="0" applyFont="1" applyBorder="1" applyAlignment="1">
      <alignment horizontal="center"/>
    </xf>
    <xf numFmtId="0" fontId="39" fillId="0" borderId="1" xfId="0" applyFont="1" applyBorder="1" applyAlignment="1">
      <alignment horizontal="left"/>
    </xf>
    <xf numFmtId="0" fontId="39" fillId="0" borderId="1" xfId="0" applyFont="1" applyBorder="1" applyAlignment="1">
      <alignment horizontal="center"/>
    </xf>
    <xf numFmtId="165" fontId="39" fillId="0" borderId="1" xfId="1" applyFont="1" applyBorder="1"/>
    <xf numFmtId="0" fontId="38" fillId="0" borderId="1" xfId="0" applyFont="1" applyBorder="1" applyAlignment="1">
      <alignment horizontal="center"/>
    </xf>
    <xf numFmtId="165" fontId="37" fillId="0" borderId="1" xfId="1" applyFont="1" applyBorder="1" applyAlignment="1">
      <alignment horizontal="center"/>
    </xf>
    <xf numFmtId="165" fontId="37" fillId="0" borderId="1" xfId="1" applyFont="1" applyBorder="1" applyAlignment="1">
      <alignment horizontal="center" wrapText="1"/>
    </xf>
    <xf numFmtId="0" fontId="37" fillId="0" borderId="1" xfId="0" applyFont="1" applyBorder="1" applyAlignment="1">
      <alignment horizontal="center"/>
    </xf>
    <xf numFmtId="164" fontId="47" fillId="0" borderId="0" xfId="0" applyNumberFormat="1" applyFont="1" applyBorder="1" applyAlignment="1">
      <alignment horizontal="right" vertical="center"/>
    </xf>
    <xf numFmtId="0" fontId="36" fillId="2" borderId="1" xfId="0" applyFont="1" applyFill="1" applyBorder="1" applyAlignment="1">
      <alignment horizontal="left"/>
    </xf>
    <xf numFmtId="0" fontId="36" fillId="2" borderId="1" xfId="0" applyFont="1" applyFill="1" applyBorder="1"/>
    <xf numFmtId="165" fontId="36" fillId="2" borderId="1" xfId="1" applyFont="1" applyFill="1" applyBorder="1"/>
    <xf numFmtId="0" fontId="36" fillId="0" borderId="1" xfId="0" applyFont="1" applyBorder="1"/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left" wrapText="1"/>
    </xf>
    <xf numFmtId="2" fontId="36" fillId="0" borderId="1" xfId="0" applyNumberFormat="1" applyFont="1" applyBorder="1" applyAlignment="1">
      <alignment horizontal="center"/>
    </xf>
    <xf numFmtId="165" fontId="36" fillId="0" borderId="1" xfId="1" applyFont="1" applyBorder="1"/>
    <xf numFmtId="0" fontId="36" fillId="0" borderId="1" xfId="0" applyFont="1" applyBorder="1" applyAlignment="1">
      <alignment horizontal="left"/>
    </xf>
    <xf numFmtId="0" fontId="36" fillId="0" borderId="1" xfId="0" applyFont="1" applyBorder="1" applyAlignment="1"/>
    <xf numFmtId="1" fontId="57" fillId="0" borderId="0" xfId="0" applyNumberFormat="1" applyFont="1" applyFill="1" applyBorder="1" applyAlignment="1">
      <alignment horizontal="center" wrapText="1"/>
    </xf>
    <xf numFmtId="0" fontId="54" fillId="0" borderId="1" xfId="0" applyFont="1" applyBorder="1" applyAlignment="1">
      <alignment horizontal="right"/>
    </xf>
    <xf numFmtId="0" fontId="36" fillId="0" borderId="1" xfId="0" applyFont="1" applyBorder="1" applyAlignment="1">
      <alignment wrapText="1"/>
    </xf>
    <xf numFmtId="0" fontId="53" fillId="0" borderId="1" xfId="0" applyFont="1" applyBorder="1"/>
    <xf numFmtId="0" fontId="53" fillId="0" borderId="1" xfId="0" applyFont="1" applyBorder="1" applyAlignment="1">
      <alignment wrapText="1"/>
    </xf>
    <xf numFmtId="0" fontId="36" fillId="0" borderId="1" xfId="0" quotePrefix="1" applyFont="1" applyBorder="1" applyAlignment="1">
      <alignment horizontal="left"/>
    </xf>
    <xf numFmtId="0" fontId="36" fillId="2" borderId="1" xfId="0" applyFont="1" applyFill="1" applyBorder="1" applyAlignment="1">
      <alignment horizontal="center"/>
    </xf>
    <xf numFmtId="0" fontId="58" fillId="2" borderId="1" xfId="0" applyFont="1" applyFill="1" applyBorder="1" applyAlignment="1">
      <alignment horizontal="left"/>
    </xf>
    <xf numFmtId="0" fontId="48" fillId="2" borderId="1" xfId="0" applyFont="1" applyFill="1" applyBorder="1" applyAlignment="1">
      <alignment horizontal="center"/>
    </xf>
    <xf numFmtId="0" fontId="58" fillId="2" borderId="1" xfId="0" applyFont="1" applyFill="1" applyBorder="1"/>
    <xf numFmtId="0" fontId="36" fillId="3" borderId="1" xfId="0" applyFont="1" applyFill="1" applyBorder="1" applyAlignment="1">
      <alignment horizontal="left"/>
    </xf>
    <xf numFmtId="0" fontId="36" fillId="3" borderId="1" xfId="0" applyFont="1" applyFill="1" applyBorder="1" applyAlignment="1">
      <alignment horizontal="center"/>
    </xf>
    <xf numFmtId="0" fontId="36" fillId="3" borderId="1" xfId="0" applyFont="1" applyFill="1" applyBorder="1"/>
    <xf numFmtId="165" fontId="49" fillId="3" borderId="1" xfId="1" applyFont="1" applyFill="1" applyBorder="1"/>
    <xf numFmtId="0" fontId="49" fillId="2" borderId="1" xfId="0" applyFont="1" applyFill="1" applyBorder="1" applyAlignment="1">
      <alignment horizontal="right"/>
    </xf>
    <xf numFmtId="0" fontId="47" fillId="3" borderId="1" xfId="0" applyFont="1" applyFill="1" applyBorder="1" applyAlignment="1">
      <alignment horizontal="left"/>
    </xf>
    <xf numFmtId="0" fontId="47" fillId="3" borderId="1" xfId="0" applyFont="1" applyFill="1" applyBorder="1" applyAlignment="1">
      <alignment horizontal="center"/>
    </xf>
    <xf numFmtId="0" fontId="47" fillId="3" borderId="1" xfId="0" applyFont="1" applyFill="1" applyBorder="1"/>
    <xf numFmtId="0" fontId="58" fillId="2" borderId="1" xfId="0" applyFont="1" applyFill="1" applyBorder="1" applyAlignment="1">
      <alignment horizontal="center"/>
    </xf>
    <xf numFmtId="0" fontId="48" fillId="2" borderId="1" xfId="0" applyFont="1" applyFill="1" applyBorder="1"/>
    <xf numFmtId="0" fontId="49" fillId="3" borderId="1" xfId="0" applyFont="1" applyFill="1" applyBorder="1" applyAlignment="1">
      <alignment horizontal="center"/>
    </xf>
    <xf numFmtId="0" fontId="49" fillId="3" borderId="1" xfId="0" applyFont="1" applyFill="1" applyBorder="1"/>
    <xf numFmtId="10" fontId="49" fillId="3" borderId="1" xfId="2" applyNumberFormat="1" applyFont="1" applyFill="1" applyBorder="1" applyAlignment="1">
      <alignment horizontal="center"/>
    </xf>
    <xf numFmtId="165" fontId="49" fillId="3" borderId="1" xfId="0" applyNumberFormat="1" applyFont="1" applyFill="1" applyBorder="1"/>
    <xf numFmtId="0" fontId="35" fillId="0" borderId="1" xfId="0" applyFont="1" applyBorder="1" applyAlignment="1">
      <alignment horizontal="center"/>
    </xf>
    <xf numFmtId="0" fontId="35" fillId="0" borderId="1" xfId="0" quotePrefix="1" applyFont="1" applyBorder="1" applyAlignment="1">
      <alignment horizontal="left"/>
    </xf>
    <xf numFmtId="0" fontId="35" fillId="2" borderId="1" xfId="0" applyFont="1" applyFill="1" applyBorder="1"/>
    <xf numFmtId="165" fontId="35" fillId="2" borderId="1" xfId="1" applyFont="1" applyFill="1" applyBorder="1"/>
    <xf numFmtId="2" fontId="35" fillId="0" borderId="1" xfId="0" applyNumberFormat="1" applyFont="1" applyBorder="1" applyAlignment="1">
      <alignment horizontal="center"/>
    </xf>
    <xf numFmtId="165" fontId="35" fillId="0" borderId="1" xfId="1" applyFont="1" applyBorder="1"/>
    <xf numFmtId="0" fontId="35" fillId="0" borderId="1" xfId="0" applyFont="1" applyBorder="1" applyAlignment="1">
      <alignment horizontal="left"/>
    </xf>
    <xf numFmtId="0" fontId="35" fillId="2" borderId="1" xfId="0" applyFont="1" applyFill="1" applyBorder="1" applyAlignment="1">
      <alignment horizontal="left"/>
    </xf>
    <xf numFmtId="0" fontId="35" fillId="2" borderId="1" xfId="0" applyFont="1" applyFill="1" applyBorder="1" applyAlignment="1">
      <alignment horizontal="center"/>
    </xf>
    <xf numFmtId="0" fontId="35" fillId="3" borderId="1" xfId="0" applyFont="1" applyFill="1" applyBorder="1" applyAlignment="1">
      <alignment horizontal="left"/>
    </xf>
    <xf numFmtId="0" fontId="35" fillId="3" borderId="1" xfId="0" applyFont="1" applyFill="1" applyBorder="1" applyAlignment="1">
      <alignment horizontal="center"/>
    </xf>
    <xf numFmtId="0" fontId="35" fillId="3" borderId="1" xfId="0" applyFont="1" applyFill="1" applyBorder="1"/>
    <xf numFmtId="2" fontId="35" fillId="2" borderId="1" xfId="0" applyNumberFormat="1" applyFont="1" applyFill="1" applyBorder="1" applyAlignment="1">
      <alignment horizontal="center"/>
    </xf>
    <xf numFmtId="0" fontId="54" fillId="2" borderId="1" xfId="0" applyFont="1" applyFill="1" applyBorder="1" applyAlignment="1">
      <alignment horizontal="left" wrapText="1"/>
    </xf>
    <xf numFmtId="0" fontId="34" fillId="0" borderId="1" xfId="0" applyFont="1" applyBorder="1" applyAlignment="1">
      <alignment horizontal="left" wrapText="1"/>
    </xf>
    <xf numFmtId="0" fontId="34" fillId="0" borderId="1" xfId="0" applyFont="1" applyBorder="1" applyAlignment="1">
      <alignment horizontal="center"/>
    </xf>
    <xf numFmtId="165" fontId="34" fillId="0" borderId="1" xfId="1" applyFont="1" applyBorder="1"/>
    <xf numFmtId="0" fontId="34" fillId="3" borderId="1" xfId="0" applyFont="1" applyFill="1" applyBorder="1" applyAlignment="1">
      <alignment horizontal="center"/>
    </xf>
    <xf numFmtId="0" fontId="53" fillId="3" borderId="1" xfId="0" applyFont="1" applyFill="1" applyBorder="1" applyAlignment="1">
      <alignment horizontal="left" wrapText="1"/>
    </xf>
    <xf numFmtId="0" fontId="58" fillId="2" borderId="1" xfId="0" applyFont="1" applyFill="1" applyBorder="1" applyAlignment="1">
      <alignment horizontal="left" wrapText="1"/>
    </xf>
    <xf numFmtId="2" fontId="58" fillId="2" borderId="1" xfId="0" applyNumberFormat="1" applyFont="1" applyFill="1" applyBorder="1" applyAlignment="1">
      <alignment horizontal="center"/>
    </xf>
    <xf numFmtId="165" fontId="58" fillId="2" borderId="1" xfId="1" applyFont="1" applyFill="1" applyBorder="1" applyAlignment="1">
      <alignment horizont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center"/>
    </xf>
    <xf numFmtId="0" fontId="33" fillId="0" borderId="1" xfId="0" applyFont="1" applyBorder="1" applyAlignment="1"/>
    <xf numFmtId="0" fontId="33" fillId="2" borderId="1" xfId="0" applyFont="1" applyFill="1" applyBorder="1"/>
    <xf numFmtId="0" fontId="33" fillId="2" borderId="1" xfId="0" applyFont="1" applyFill="1" applyBorder="1" applyAlignment="1">
      <alignment horizontal="center"/>
    </xf>
    <xf numFmtId="0" fontId="48" fillId="0" borderId="1" xfId="0" applyFont="1" applyBorder="1"/>
    <xf numFmtId="0" fontId="33" fillId="0" borderId="0" xfId="0" applyFont="1" applyBorder="1"/>
    <xf numFmtId="0" fontId="36" fillId="0" borderId="0" xfId="0" applyFont="1" applyAlignment="1"/>
    <xf numFmtId="0" fontId="36" fillId="0" borderId="0" xfId="0" applyFont="1" applyBorder="1" applyAlignment="1"/>
    <xf numFmtId="165" fontId="33" fillId="0" borderId="1" xfId="1" applyFont="1" applyBorder="1" applyAlignment="1">
      <alignment horizontal="center"/>
    </xf>
    <xf numFmtId="165" fontId="33" fillId="0" borderId="1" xfId="1" applyFont="1" applyBorder="1" applyAlignment="1">
      <alignment horizontal="center" wrapText="1"/>
    </xf>
    <xf numFmtId="165" fontId="33" fillId="3" borderId="1" xfId="1" applyFont="1" applyFill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33" fillId="0" borderId="1" xfId="1" applyNumberFormat="1" applyFont="1" applyBorder="1" applyAlignment="1">
      <alignment horizontal="center"/>
    </xf>
    <xf numFmtId="165" fontId="33" fillId="3" borderId="1" xfId="1" applyFont="1" applyFill="1" applyBorder="1" applyAlignment="1">
      <alignment horizontal="center" wrapText="1"/>
    </xf>
    <xf numFmtId="0" fontId="32" fillId="0" borderId="1" xfId="0" applyFont="1" applyBorder="1" applyAlignment="1">
      <alignment horizontal="center"/>
    </xf>
    <xf numFmtId="165" fontId="32" fillId="0" borderId="1" xfId="1" applyFont="1" applyBorder="1" applyAlignment="1">
      <alignment horizontal="center"/>
    </xf>
    <xf numFmtId="165" fontId="32" fillId="0" borderId="1" xfId="1" applyFont="1" applyBorder="1" applyAlignment="1">
      <alignment horizontal="center" wrapText="1"/>
    </xf>
    <xf numFmtId="0" fontId="0" fillId="0" borderId="6" xfId="0" applyBorder="1"/>
    <xf numFmtId="0" fontId="31" fillId="0" borderId="1" xfId="0" applyFont="1" applyBorder="1" applyAlignment="1">
      <alignment horizontal="center"/>
    </xf>
    <xf numFmtId="2" fontId="30" fillId="0" borderId="1" xfId="0" applyNumberFormat="1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59" fillId="2" borderId="1" xfId="0" applyFont="1" applyFill="1" applyBorder="1" applyAlignment="1">
      <alignment horizontal="left" wrapText="1"/>
    </xf>
    <xf numFmtId="0" fontId="49" fillId="3" borderId="1" xfId="0" applyFont="1" applyFill="1" applyBorder="1" applyAlignment="1">
      <alignment horizontal="left"/>
    </xf>
    <xf numFmtId="0" fontId="54" fillId="3" borderId="1" xfId="0" applyFont="1" applyFill="1" applyBorder="1" applyAlignment="1">
      <alignment horizontal="left" wrapText="1"/>
    </xf>
    <xf numFmtId="2" fontId="35" fillId="3" borderId="1" xfId="0" applyNumberFormat="1" applyFont="1" applyFill="1" applyBorder="1" applyAlignment="1">
      <alignment horizontal="center"/>
    </xf>
    <xf numFmtId="165" fontId="35" fillId="3" borderId="1" xfId="1" applyFont="1" applyFill="1" applyBorder="1"/>
    <xf numFmtId="0" fontId="30" fillId="0" borderId="1" xfId="0" applyFont="1" applyBorder="1" applyAlignment="1">
      <alignment horizontal="left"/>
    </xf>
    <xf numFmtId="165" fontId="30" fillId="0" borderId="1" xfId="1" applyFont="1" applyBorder="1" applyAlignment="1">
      <alignment horizontal="center"/>
    </xf>
    <xf numFmtId="165" fontId="30" fillId="0" borderId="1" xfId="1" applyFont="1" applyBorder="1" applyAlignment="1">
      <alignment horizont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4" fontId="36" fillId="0" borderId="1" xfId="0" applyNumberFormat="1" applyFont="1" applyBorder="1"/>
    <xf numFmtId="4" fontId="36" fillId="0" borderId="1" xfId="0" applyNumberFormat="1" applyFont="1" applyBorder="1" applyAlignment="1">
      <alignment horizontal="center"/>
    </xf>
    <xf numFmtId="165" fontId="49" fillId="2" borderId="1" xfId="1" applyFont="1" applyFill="1" applyBorder="1" applyAlignment="1">
      <alignment horizontal="center"/>
    </xf>
    <xf numFmtId="165" fontId="36" fillId="0" borderId="1" xfId="1" applyFont="1" applyBorder="1" applyAlignment="1">
      <alignment horizontal="center"/>
    </xf>
    <xf numFmtId="0" fontId="29" fillId="0" borderId="1" xfId="0" applyFont="1" applyBorder="1" applyAlignment="1">
      <alignment wrapText="1"/>
    </xf>
    <xf numFmtId="4" fontId="49" fillId="2" borderId="1" xfId="0" applyNumberFormat="1" applyFont="1" applyFill="1" applyBorder="1" applyAlignment="1">
      <alignment horizontal="center"/>
    </xf>
    <xf numFmtId="165" fontId="49" fillId="0" borderId="1" xfId="0" applyNumberFormat="1" applyFont="1" applyBorder="1" applyAlignment="1">
      <alignment horizontal="center"/>
    </xf>
    <xf numFmtId="165" fontId="35" fillId="0" borderId="1" xfId="1" applyFont="1" applyBorder="1" applyAlignment="1">
      <alignment horizontal="center"/>
    </xf>
    <xf numFmtId="165" fontId="28" fillId="0" borderId="1" xfId="1" applyFont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165" fontId="27" fillId="0" borderId="1" xfId="1" applyFont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165" fontId="26" fillId="0" borderId="1" xfId="1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2" fontId="25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center"/>
    </xf>
    <xf numFmtId="0" fontId="18" fillId="3" borderId="1" xfId="0" applyFont="1" applyFill="1" applyBorder="1"/>
    <xf numFmtId="0" fontId="18" fillId="3" borderId="1" xfId="0" applyFont="1" applyFill="1" applyBorder="1" applyAlignment="1">
      <alignment wrapText="1"/>
    </xf>
    <xf numFmtId="0" fontId="35" fillId="3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48" fillId="3" borderId="1" xfId="0" applyFont="1" applyFill="1" applyBorder="1" applyAlignment="1">
      <alignment horizontal="center"/>
    </xf>
    <xf numFmtId="0" fontId="48" fillId="3" borderId="1" xfId="0" applyFont="1" applyFill="1" applyBorder="1" applyAlignment="1">
      <alignment horizontal="left"/>
    </xf>
    <xf numFmtId="0" fontId="29" fillId="2" borderId="1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2" fontId="25" fillId="2" borderId="1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165" fontId="16" fillId="0" borderId="1" xfId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4" xfId="0" applyFont="1" applyBorder="1" applyAlignment="1">
      <alignment horizontal="center"/>
    </xf>
    <xf numFmtId="0" fontId="24" fillId="0" borderId="0" xfId="0" applyFont="1" applyAlignment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165" fontId="46" fillId="3" borderId="1" xfId="1" applyFont="1" applyFill="1" applyBorder="1"/>
    <xf numFmtId="0" fontId="13" fillId="3" borderId="1" xfId="0" applyFont="1" applyFill="1" applyBorder="1" applyAlignment="1">
      <alignment horizontal="center"/>
    </xf>
    <xf numFmtId="0" fontId="38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wrapText="1"/>
    </xf>
    <xf numFmtId="2" fontId="53" fillId="3" borderId="1" xfId="0" applyNumberFormat="1" applyFont="1" applyFill="1" applyBorder="1" applyAlignment="1">
      <alignment horizontal="center"/>
    </xf>
    <xf numFmtId="0" fontId="13" fillId="0" borderId="1" xfId="0" applyFont="1" applyBorder="1"/>
    <xf numFmtId="2" fontId="13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1" fillId="0" borderId="1" xfId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165" fontId="11" fillId="0" borderId="11" xfId="1" applyFont="1" applyFill="1" applyBorder="1" applyAlignment="1">
      <alignment horizontal="center"/>
    </xf>
    <xf numFmtId="0" fontId="11" fillId="0" borderId="1" xfId="0" applyFont="1" applyBorder="1"/>
    <xf numFmtId="0" fontId="10" fillId="0" borderId="1" xfId="0" applyFont="1" applyBorder="1"/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165" fontId="8" fillId="0" borderId="1" xfId="1" applyFont="1" applyBorder="1" applyAlignment="1">
      <alignment horizontal="center"/>
    </xf>
    <xf numFmtId="0" fontId="46" fillId="3" borderId="1" xfId="0" applyFont="1" applyFill="1" applyBorder="1"/>
    <xf numFmtId="0" fontId="43" fillId="3" borderId="1" xfId="0" applyFont="1" applyFill="1" applyBorder="1" applyAlignment="1">
      <alignment horizontal="center"/>
    </xf>
    <xf numFmtId="0" fontId="46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 wrapText="1"/>
    </xf>
    <xf numFmtId="165" fontId="8" fillId="0" borderId="1" xfId="1" applyFont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 wrapText="1"/>
    </xf>
    <xf numFmtId="165" fontId="36" fillId="3" borderId="1" xfId="1" applyFont="1" applyFill="1" applyBorder="1"/>
    <xf numFmtId="0" fontId="45" fillId="3" borderId="1" xfId="0" applyFont="1" applyFill="1" applyBorder="1" applyAlignment="1">
      <alignment horizontal="center"/>
    </xf>
    <xf numFmtId="165" fontId="47" fillId="3" borderId="1" xfId="1" applyFont="1" applyFill="1" applyBorder="1"/>
    <xf numFmtId="0" fontId="44" fillId="3" borderId="1" xfId="0" applyFont="1" applyFill="1" applyBorder="1" applyAlignment="1">
      <alignment horizontal="center"/>
    </xf>
    <xf numFmtId="2" fontId="47" fillId="3" borderId="1" xfId="0" applyNumberFormat="1" applyFont="1" applyFill="1" applyBorder="1" applyAlignment="1">
      <alignment horizontal="center"/>
    </xf>
    <xf numFmtId="0" fontId="42" fillId="3" borderId="1" xfId="0" applyFont="1" applyFill="1" applyBorder="1" applyAlignment="1">
      <alignment horizontal="center"/>
    </xf>
    <xf numFmtId="2" fontId="30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165" fontId="7" fillId="3" borderId="1" xfId="1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165" fontId="7" fillId="0" borderId="1" xfId="1" applyFont="1" applyBorder="1" applyAlignment="1">
      <alignment horizontal="center"/>
    </xf>
    <xf numFmtId="0" fontId="6" fillId="0" borderId="1" xfId="0" applyFont="1" applyBorder="1"/>
    <xf numFmtId="165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6" fillId="0" borderId="1" xfId="1" applyFont="1" applyBorder="1" applyAlignment="1">
      <alignment horizontal="center" wrapText="1"/>
    </xf>
    <xf numFmtId="165" fontId="5" fillId="0" borderId="1" xfId="1" applyFont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65" fontId="5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165" fontId="1" fillId="0" borderId="1" xfId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55" fillId="0" borderId="3" xfId="0" applyFont="1" applyBorder="1" applyAlignment="1">
      <alignment horizontal="center"/>
    </xf>
    <xf numFmtId="0" fontId="55" fillId="0" borderId="4" xfId="0" applyFont="1" applyBorder="1" applyAlignment="1">
      <alignment horizontal="center"/>
    </xf>
    <xf numFmtId="0" fontId="55" fillId="0" borderId="5" xfId="0" applyFont="1" applyBorder="1" applyAlignment="1">
      <alignment horizontal="center"/>
    </xf>
    <xf numFmtId="0" fontId="55" fillId="0" borderId="6" xfId="0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7" xfId="0" applyFont="1" applyBorder="1" applyAlignment="1">
      <alignment horizontal="center"/>
    </xf>
    <xf numFmtId="0" fontId="50" fillId="0" borderId="6" xfId="0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50" fillId="0" borderId="7" xfId="0" applyFont="1" applyBorder="1" applyAlignment="1">
      <alignment horizontal="center"/>
    </xf>
    <xf numFmtId="0" fontId="51" fillId="0" borderId="6" xfId="0" applyFont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7" xfId="0" applyFont="1" applyBorder="1" applyAlignment="1">
      <alignment horizontal="center"/>
    </xf>
    <xf numFmtId="0" fontId="48" fillId="0" borderId="2" xfId="0" applyFont="1" applyBorder="1" applyAlignment="1">
      <alignment horizontal="left"/>
    </xf>
    <xf numFmtId="0" fontId="48" fillId="0" borderId="9" xfId="0" applyFont="1" applyBorder="1" applyAlignment="1">
      <alignment horizontal="left"/>
    </xf>
    <xf numFmtId="0" fontId="48" fillId="0" borderId="0" xfId="0" applyFont="1" applyBorder="1" applyAlignment="1">
      <alignment horizontal="center"/>
    </xf>
    <xf numFmtId="0" fontId="48" fillId="0" borderId="7" xfId="0" applyFont="1" applyBorder="1" applyAlignment="1">
      <alignment horizontal="center"/>
    </xf>
    <xf numFmtId="0" fontId="48" fillId="0" borderId="0" xfId="0" applyFont="1" applyBorder="1" applyAlignment="1">
      <alignment horizontal="left"/>
    </xf>
    <xf numFmtId="0" fontId="48" fillId="0" borderId="7" xfId="0" applyFont="1" applyBorder="1" applyAlignment="1">
      <alignment horizontal="left"/>
    </xf>
    <xf numFmtId="0" fontId="36" fillId="0" borderId="4" xfId="0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55" fillId="0" borderId="12" xfId="0" applyFont="1" applyBorder="1" applyAlignment="1">
      <alignment horizontal="center"/>
    </xf>
    <xf numFmtId="0" fontId="51" fillId="0" borderId="6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48" fillId="0" borderId="10" xfId="0" applyFont="1" applyBorder="1" applyAlignment="1">
      <alignment horizontal="left"/>
    </xf>
    <xf numFmtId="0" fontId="48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3246903</xdr:colOff>
      <xdr:row>1</xdr:row>
      <xdr:rowOff>59532</xdr:rowOff>
    </xdr:from>
    <xdr:to>
      <xdr:col>3</xdr:col>
      <xdr:colOff>3852058</xdr:colOff>
      <xdr:row>5</xdr:row>
      <xdr:rowOff>80487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509091" y="250032"/>
          <a:ext cx="605155" cy="782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4449536</xdr:colOff>
      <xdr:row>1</xdr:row>
      <xdr:rowOff>44824</xdr:rowOff>
    </xdr:from>
    <xdr:ext cx="605155" cy="782955"/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830786" y="235324"/>
          <a:ext cx="605155" cy="782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2"/>
  <sheetViews>
    <sheetView topLeftCell="A664" zoomScale="85" zoomScaleNormal="85" workbookViewId="0">
      <selection activeCell="B493" sqref="B493"/>
    </sheetView>
  </sheetViews>
  <sheetFormatPr defaultRowHeight="15"/>
  <cols>
    <col min="1" max="1" width="7.5703125" customWidth="1"/>
    <col min="2" max="3" width="13.28515625" customWidth="1"/>
    <col min="4" max="4" width="81.85546875" customWidth="1"/>
    <col min="5" max="5" width="12.5703125" customWidth="1"/>
    <col min="6" max="6" width="11" customWidth="1"/>
    <col min="7" max="8" width="18.7109375" customWidth="1"/>
    <col min="9" max="9" width="20.28515625" customWidth="1"/>
  </cols>
  <sheetData>
    <row r="1" spans="1:8" ht="15" customHeight="1">
      <c r="A1" s="272" t="s">
        <v>38</v>
      </c>
      <c r="B1" s="273"/>
      <c r="C1" s="273"/>
      <c r="D1" s="273"/>
      <c r="E1" s="273"/>
      <c r="F1" s="273"/>
      <c r="G1" s="273"/>
      <c r="H1" s="274"/>
    </row>
    <row r="2" spans="1:8" ht="15" customHeight="1">
      <c r="A2" s="275"/>
      <c r="B2" s="276"/>
      <c r="C2" s="276"/>
      <c r="D2" s="276"/>
      <c r="E2" s="276"/>
      <c r="F2" s="276"/>
      <c r="G2" s="276"/>
      <c r="H2" s="277"/>
    </row>
    <row r="3" spans="1:8" ht="15" customHeight="1">
      <c r="A3" s="275"/>
      <c r="B3" s="276"/>
      <c r="C3" s="276"/>
      <c r="D3" s="276"/>
      <c r="E3" s="276"/>
      <c r="F3" s="276"/>
      <c r="G3" s="276"/>
      <c r="H3" s="277"/>
    </row>
    <row r="4" spans="1:8" ht="15" customHeight="1">
      <c r="A4" s="275"/>
      <c r="B4" s="276"/>
      <c r="C4" s="276"/>
      <c r="D4" s="276"/>
      <c r="E4" s="276"/>
      <c r="F4" s="276"/>
      <c r="G4" s="276"/>
      <c r="H4" s="277"/>
    </row>
    <row r="5" spans="1:8" ht="15" customHeight="1">
      <c r="A5" s="275"/>
      <c r="B5" s="276"/>
      <c r="C5" s="276"/>
      <c r="D5" s="276"/>
      <c r="E5" s="276"/>
      <c r="F5" s="276"/>
      <c r="G5" s="276"/>
      <c r="H5" s="277"/>
    </row>
    <row r="6" spans="1:8" ht="15" customHeight="1">
      <c r="A6" s="275"/>
      <c r="B6" s="276"/>
      <c r="C6" s="276"/>
      <c r="D6" s="276"/>
      <c r="E6" s="276"/>
      <c r="F6" s="276"/>
      <c r="G6" s="276"/>
      <c r="H6" s="277"/>
    </row>
    <row r="7" spans="1:8" ht="15" customHeight="1">
      <c r="A7" s="275"/>
      <c r="B7" s="276"/>
      <c r="C7" s="276"/>
      <c r="D7" s="276"/>
      <c r="E7" s="276"/>
      <c r="F7" s="276"/>
      <c r="G7" s="276"/>
      <c r="H7" s="277"/>
    </row>
    <row r="8" spans="1:8" ht="15" customHeight="1">
      <c r="A8" s="281" t="s">
        <v>37</v>
      </c>
      <c r="B8" s="282"/>
      <c r="C8" s="282"/>
      <c r="D8" s="282"/>
      <c r="E8" s="282"/>
      <c r="F8" s="282"/>
      <c r="G8" s="282"/>
      <c r="H8" s="283"/>
    </row>
    <row r="9" spans="1:8" ht="15" customHeight="1">
      <c r="A9" s="33"/>
      <c r="B9" s="34"/>
      <c r="C9" s="34"/>
      <c r="D9" s="34"/>
      <c r="E9" s="34"/>
      <c r="F9" s="34"/>
      <c r="G9" s="34"/>
      <c r="H9" s="35"/>
    </row>
    <row r="10" spans="1:8" ht="15" customHeight="1">
      <c r="A10" s="278" t="s">
        <v>8</v>
      </c>
      <c r="B10" s="279"/>
      <c r="C10" s="279"/>
      <c r="D10" s="279"/>
      <c r="E10" s="279"/>
      <c r="F10" s="279"/>
      <c r="G10" s="279"/>
      <c r="H10" s="280"/>
    </row>
    <row r="11" spans="1:8" ht="15" customHeight="1">
      <c r="A11" s="3"/>
      <c r="B11" s="286"/>
      <c r="C11" s="286"/>
      <c r="D11" s="286"/>
      <c r="E11" s="286"/>
      <c r="F11" s="286"/>
      <c r="G11" s="286"/>
      <c r="H11" s="287"/>
    </row>
    <row r="12" spans="1:8" ht="15" customHeight="1">
      <c r="A12" s="3"/>
      <c r="B12" s="288" t="s">
        <v>1059</v>
      </c>
      <c r="C12" s="288"/>
      <c r="D12" s="288"/>
      <c r="E12" s="288"/>
      <c r="F12" s="288"/>
      <c r="G12" s="288"/>
      <c r="H12" s="289"/>
    </row>
    <row r="13" spans="1:8" ht="15" customHeight="1">
      <c r="A13" s="3"/>
      <c r="B13" s="288" t="s">
        <v>97</v>
      </c>
      <c r="C13" s="288"/>
      <c r="D13" s="288"/>
      <c r="E13" s="288"/>
      <c r="F13" s="288"/>
      <c r="G13" s="288"/>
      <c r="H13" s="289"/>
    </row>
    <row r="14" spans="1:8" ht="15" customHeight="1">
      <c r="A14" s="4"/>
      <c r="B14" s="5" t="s">
        <v>85</v>
      </c>
      <c r="C14" s="5"/>
      <c r="D14" s="5"/>
      <c r="E14" s="284" t="s">
        <v>703</v>
      </c>
      <c r="F14" s="284"/>
      <c r="G14" s="284"/>
      <c r="H14" s="285"/>
    </row>
    <row r="15" spans="1:8" ht="25.5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9" t="s">
        <v>6</v>
      </c>
      <c r="H15" s="9" t="s">
        <v>7</v>
      </c>
    </row>
    <row r="16" spans="1:8" ht="9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06" t="s">
        <v>129</v>
      </c>
      <c r="B17" s="107"/>
      <c r="C17" s="107"/>
      <c r="D17" s="97" t="s">
        <v>673</v>
      </c>
      <c r="E17" s="2"/>
      <c r="F17" s="2"/>
      <c r="G17" s="2"/>
      <c r="H17" s="2"/>
    </row>
    <row r="18" spans="1:8" ht="9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0">
        <v>1</v>
      </c>
      <c r="B19" s="79"/>
      <c r="C19" s="79"/>
      <c r="D19" s="10" t="s">
        <v>13</v>
      </c>
      <c r="E19" s="79"/>
      <c r="F19" s="79"/>
      <c r="G19" s="80"/>
      <c r="H19" s="80"/>
    </row>
    <row r="20" spans="1:8" ht="15" customHeight="1">
      <c r="A20" s="81" t="s">
        <v>9</v>
      </c>
      <c r="B20" s="82" t="s">
        <v>86</v>
      </c>
      <c r="C20" s="82" t="s">
        <v>653</v>
      </c>
      <c r="D20" s="83" t="s">
        <v>654</v>
      </c>
      <c r="E20" s="82" t="s">
        <v>27</v>
      </c>
      <c r="F20" s="51">
        <f>196.3+335.2+265.5+156.4+215.4+20.2+57.4+50.5</f>
        <v>1296.9000000000001</v>
      </c>
      <c r="G20" s="85"/>
      <c r="H20" s="85"/>
    </row>
    <row r="21" spans="1:8" ht="15" customHeight="1">
      <c r="A21" s="81" t="s">
        <v>10</v>
      </c>
      <c r="B21" s="82" t="s">
        <v>86</v>
      </c>
      <c r="C21" s="82" t="s">
        <v>90</v>
      </c>
      <c r="D21" s="83" t="s">
        <v>91</v>
      </c>
      <c r="E21" s="82" t="s">
        <v>92</v>
      </c>
      <c r="F21" s="51">
        <v>5</v>
      </c>
      <c r="G21" s="85"/>
      <c r="H21" s="85"/>
    </row>
    <row r="22" spans="1:8" ht="15" customHeight="1">
      <c r="A22" s="81"/>
      <c r="B22" s="82"/>
      <c r="C22" s="82"/>
      <c r="D22" s="30" t="s">
        <v>33</v>
      </c>
      <c r="E22" s="82"/>
      <c r="F22" s="84"/>
      <c r="G22" s="85"/>
      <c r="H22" s="22"/>
    </row>
    <row r="23" spans="1:8" ht="15" customHeight="1">
      <c r="A23" s="10">
        <v>2</v>
      </c>
      <c r="B23" s="7"/>
      <c r="C23" s="7"/>
      <c r="D23" s="10" t="s">
        <v>135</v>
      </c>
      <c r="E23" s="13"/>
      <c r="F23" s="20"/>
      <c r="G23" s="18"/>
      <c r="H23" s="18"/>
    </row>
    <row r="24" spans="1:8" ht="15" customHeight="1">
      <c r="A24" s="86" t="s">
        <v>14</v>
      </c>
      <c r="B24" s="82" t="s">
        <v>86</v>
      </c>
      <c r="C24" s="82" t="s">
        <v>655</v>
      </c>
      <c r="D24" s="83" t="s">
        <v>656</v>
      </c>
      <c r="E24" s="82" t="s">
        <v>25</v>
      </c>
      <c r="F24" s="51">
        <f>(F20*0.15*0.1)+F30</f>
        <v>54.037500000000023</v>
      </c>
      <c r="G24" s="85"/>
      <c r="H24" s="85"/>
    </row>
    <row r="25" spans="1:8" ht="15" customHeight="1">
      <c r="A25" s="86" t="s">
        <v>41</v>
      </c>
      <c r="B25" s="82" t="s">
        <v>86</v>
      </c>
      <c r="C25" s="82" t="s">
        <v>657</v>
      </c>
      <c r="D25" s="83" t="s">
        <v>658</v>
      </c>
      <c r="E25" s="82" t="s">
        <v>25</v>
      </c>
      <c r="F25" s="51">
        <f>0.15*0.3*1296.9</f>
        <v>58.360500000000002</v>
      </c>
      <c r="G25" s="85"/>
      <c r="H25" s="85"/>
    </row>
    <row r="26" spans="1:8" ht="15" customHeight="1">
      <c r="A26" s="86" t="s">
        <v>44</v>
      </c>
      <c r="B26" s="82" t="s">
        <v>86</v>
      </c>
      <c r="C26" s="82" t="s">
        <v>146</v>
      </c>
      <c r="D26" s="83" t="s">
        <v>659</v>
      </c>
      <c r="E26" s="82" t="s">
        <v>148</v>
      </c>
      <c r="F26" s="51">
        <f>F25*70</f>
        <v>4085.2350000000001</v>
      </c>
      <c r="G26" s="85"/>
      <c r="H26" s="85"/>
    </row>
    <row r="27" spans="1:8" ht="15" customHeight="1">
      <c r="A27" s="86" t="s">
        <v>49</v>
      </c>
      <c r="B27" s="82" t="s">
        <v>86</v>
      </c>
      <c r="C27" s="82" t="s">
        <v>150</v>
      </c>
      <c r="D27" s="83" t="s">
        <v>660</v>
      </c>
      <c r="E27" s="82" t="s">
        <v>148</v>
      </c>
      <c r="F27" s="51">
        <f>F25*10</f>
        <v>583.60500000000002</v>
      </c>
      <c r="G27" s="85"/>
      <c r="H27" s="85"/>
    </row>
    <row r="28" spans="1:8" ht="30" customHeight="1">
      <c r="A28" s="86" t="s">
        <v>145</v>
      </c>
      <c r="B28" s="82" t="s">
        <v>86</v>
      </c>
      <c r="C28" s="82" t="s">
        <v>661</v>
      </c>
      <c r="D28" s="83" t="s">
        <v>662</v>
      </c>
      <c r="E28" s="82" t="s">
        <v>25</v>
      </c>
      <c r="F28" s="51">
        <f>F25+F30</f>
        <v>92.944500000000019</v>
      </c>
      <c r="G28" s="85"/>
      <c r="H28" s="85"/>
    </row>
    <row r="29" spans="1:8" ht="15" customHeight="1">
      <c r="A29" s="86" t="s">
        <v>149</v>
      </c>
      <c r="B29" s="82" t="s">
        <v>86</v>
      </c>
      <c r="C29" s="82" t="s">
        <v>663</v>
      </c>
      <c r="D29" s="83" t="s">
        <v>664</v>
      </c>
      <c r="E29" s="82" t="s">
        <v>23</v>
      </c>
      <c r="F29" s="51">
        <f>100*0.3*2</f>
        <v>60</v>
      </c>
      <c r="G29" s="85"/>
      <c r="H29" s="85"/>
    </row>
    <row r="30" spans="1:8" ht="15" customHeight="1">
      <c r="A30" s="86" t="s">
        <v>152</v>
      </c>
      <c r="B30" s="82" t="s">
        <v>86</v>
      </c>
      <c r="C30" s="82" t="s">
        <v>657</v>
      </c>
      <c r="D30" s="83" t="s">
        <v>665</v>
      </c>
      <c r="E30" s="82" t="s">
        <v>25</v>
      </c>
      <c r="F30" s="51">
        <f>(1296.9/2.4)*0.4*0.4*0.4</f>
        <v>34.584000000000017</v>
      </c>
      <c r="G30" s="85"/>
      <c r="H30" s="85"/>
    </row>
    <row r="31" spans="1:8" ht="15" customHeight="1">
      <c r="A31" s="86" t="s">
        <v>154</v>
      </c>
      <c r="B31" s="82" t="s">
        <v>86</v>
      </c>
      <c r="C31" s="82" t="s">
        <v>146</v>
      </c>
      <c r="D31" s="83" t="s">
        <v>666</v>
      </c>
      <c r="E31" s="82" t="s">
        <v>148</v>
      </c>
      <c r="F31" s="51">
        <f>F30*60</f>
        <v>2075.0400000000009</v>
      </c>
      <c r="G31" s="85"/>
      <c r="H31" s="85"/>
    </row>
    <row r="32" spans="1:8" ht="15" customHeight="1">
      <c r="A32" s="86" t="s">
        <v>156</v>
      </c>
      <c r="B32" s="82" t="s">
        <v>86</v>
      </c>
      <c r="C32" s="82" t="s">
        <v>150</v>
      </c>
      <c r="D32" s="83" t="s">
        <v>667</v>
      </c>
      <c r="E32" s="82" t="s">
        <v>148</v>
      </c>
      <c r="F32" s="51">
        <f>F30*12</f>
        <v>415.00800000000021</v>
      </c>
      <c r="G32" s="85"/>
      <c r="H32" s="85"/>
    </row>
    <row r="33" spans="1:9" ht="15" customHeight="1">
      <c r="A33" s="86"/>
      <c r="B33" s="82"/>
      <c r="C33" s="82"/>
      <c r="D33" s="30" t="s">
        <v>34</v>
      </c>
      <c r="E33" s="82"/>
      <c r="F33" s="84"/>
      <c r="G33" s="85"/>
      <c r="H33" s="22"/>
    </row>
    <row r="34" spans="1:9" ht="15" customHeight="1">
      <c r="A34" s="10">
        <v>3</v>
      </c>
      <c r="B34" s="7"/>
      <c r="C34" s="7"/>
      <c r="D34" s="10" t="s">
        <v>668</v>
      </c>
      <c r="E34" s="13"/>
      <c r="F34" s="20"/>
      <c r="G34" s="18"/>
      <c r="H34" s="80"/>
    </row>
    <row r="35" spans="1:9" ht="30" customHeight="1">
      <c r="A35" s="86" t="s">
        <v>15</v>
      </c>
      <c r="B35" s="82" t="s">
        <v>86</v>
      </c>
      <c r="C35" s="82" t="s">
        <v>669</v>
      </c>
      <c r="D35" s="83" t="s">
        <v>670</v>
      </c>
      <c r="E35" s="82" t="s">
        <v>27</v>
      </c>
      <c r="F35" s="84">
        <f>F20</f>
        <v>1296.9000000000001</v>
      </c>
      <c r="G35" s="85"/>
      <c r="H35" s="85"/>
    </row>
    <row r="36" spans="1:9" ht="15" customHeight="1">
      <c r="A36" s="86" t="s">
        <v>47</v>
      </c>
      <c r="B36" s="82" t="s">
        <v>86</v>
      </c>
      <c r="C36" s="82" t="s">
        <v>671</v>
      </c>
      <c r="D36" s="83" t="s">
        <v>672</v>
      </c>
      <c r="E36" s="82" t="s">
        <v>23</v>
      </c>
      <c r="F36" s="84">
        <f>6*2.9</f>
        <v>17.399999999999999</v>
      </c>
      <c r="G36" s="85"/>
      <c r="H36" s="85"/>
    </row>
    <row r="37" spans="1:9" ht="15" customHeight="1">
      <c r="A37" s="86"/>
      <c r="B37" s="82"/>
      <c r="C37" s="82"/>
      <c r="D37" s="30" t="s">
        <v>35</v>
      </c>
      <c r="E37" s="82"/>
      <c r="F37" s="84"/>
      <c r="G37" s="85"/>
      <c r="H37" s="22"/>
    </row>
    <row r="38" spans="1:9" ht="9" customHeight="1">
      <c r="A38" s="86"/>
      <c r="B38" s="86"/>
      <c r="C38" s="86"/>
      <c r="D38" s="86"/>
      <c r="E38" s="86"/>
      <c r="F38" s="86"/>
      <c r="G38" s="86"/>
      <c r="H38" s="86"/>
    </row>
    <row r="39" spans="1:9" ht="15" customHeight="1">
      <c r="A39" s="78"/>
      <c r="B39" s="94"/>
      <c r="C39" s="94"/>
      <c r="D39" s="102" t="s">
        <v>130</v>
      </c>
      <c r="E39" s="94"/>
      <c r="F39" s="94"/>
      <c r="G39" s="79"/>
      <c r="H39" s="18"/>
    </row>
    <row r="40" spans="1:9" ht="9" customHeight="1">
      <c r="A40" s="1"/>
      <c r="B40" s="1"/>
      <c r="C40" s="1"/>
      <c r="D40" s="1"/>
      <c r="E40" s="1"/>
      <c r="F40" s="1"/>
      <c r="G40" s="1"/>
      <c r="H40" s="1"/>
    </row>
    <row r="41" spans="1:9" ht="15" customHeight="1">
      <c r="A41" s="106" t="s">
        <v>131</v>
      </c>
      <c r="B41" s="95"/>
      <c r="C41" s="95"/>
      <c r="D41" s="95" t="s">
        <v>1007</v>
      </c>
      <c r="E41" s="10"/>
      <c r="F41" s="10"/>
      <c r="G41" s="10"/>
      <c r="H41" s="10"/>
    </row>
    <row r="42" spans="1:9" ht="9" customHeight="1">
      <c r="A42" s="1"/>
      <c r="B42" s="1"/>
      <c r="C42" s="1"/>
      <c r="D42" s="1"/>
      <c r="E42" s="1"/>
      <c r="F42" s="1"/>
      <c r="G42" s="1"/>
      <c r="H42" s="1"/>
    </row>
    <row r="43" spans="1:9">
      <c r="A43" s="10">
        <v>1</v>
      </c>
      <c r="B43" s="2"/>
      <c r="C43" s="2"/>
      <c r="D43" s="10" t="s">
        <v>13</v>
      </c>
      <c r="E43" s="2"/>
      <c r="F43" s="2"/>
      <c r="G43" s="17"/>
      <c r="H43" s="17"/>
      <c r="I43" s="24"/>
    </row>
    <row r="44" spans="1:9" ht="29.25">
      <c r="A44" s="36" t="s">
        <v>9</v>
      </c>
      <c r="B44" s="44" t="s">
        <v>86</v>
      </c>
      <c r="C44" s="44" t="s">
        <v>24</v>
      </c>
      <c r="D44" s="210" t="s">
        <v>31</v>
      </c>
      <c r="E44" s="37" t="s">
        <v>23</v>
      </c>
      <c r="F44" s="39">
        <f>(6*3)+(3*2)</f>
        <v>24</v>
      </c>
      <c r="G44" s="40"/>
      <c r="H44" s="40"/>
    </row>
    <row r="45" spans="1:9" ht="29.25">
      <c r="A45" s="231" t="s">
        <v>10</v>
      </c>
      <c r="B45" s="232" t="s">
        <v>86</v>
      </c>
      <c r="C45" s="232" t="s">
        <v>39</v>
      </c>
      <c r="D45" s="234" t="s">
        <v>1121</v>
      </c>
      <c r="E45" s="233" t="s">
        <v>23</v>
      </c>
      <c r="F45" s="244">
        <f>F88+F79+F83</f>
        <v>8481.44</v>
      </c>
      <c r="G45" s="215"/>
      <c r="H45" s="215"/>
    </row>
    <row r="46" spans="1:9" ht="29.25">
      <c r="A46" s="231" t="s">
        <v>11</v>
      </c>
      <c r="B46" s="232" t="s">
        <v>86</v>
      </c>
      <c r="C46" s="233" t="s">
        <v>40</v>
      </c>
      <c r="D46" s="234" t="s">
        <v>1122</v>
      </c>
      <c r="E46" s="233" t="s">
        <v>27</v>
      </c>
      <c r="F46" s="219">
        <f>248.8+54.53+46</f>
        <v>349.33000000000004</v>
      </c>
      <c r="G46" s="215"/>
      <c r="H46" s="215"/>
    </row>
    <row r="47" spans="1:9">
      <c r="A47" s="36" t="s">
        <v>12</v>
      </c>
      <c r="B47" s="52" t="s">
        <v>86</v>
      </c>
      <c r="C47" s="37" t="s">
        <v>90</v>
      </c>
      <c r="D47" s="38" t="s">
        <v>91</v>
      </c>
      <c r="E47" s="52" t="s">
        <v>92</v>
      </c>
      <c r="F47" s="51">
        <v>8</v>
      </c>
      <c r="G47" s="40"/>
      <c r="H47" s="40"/>
    </row>
    <row r="48" spans="1:9" ht="45" customHeight="1">
      <c r="A48" s="36" t="s">
        <v>1008</v>
      </c>
      <c r="B48" s="155" t="s">
        <v>86</v>
      </c>
      <c r="C48" s="155" t="s">
        <v>695</v>
      </c>
      <c r="D48" s="28" t="s">
        <v>1123</v>
      </c>
      <c r="E48" s="127" t="s">
        <v>23</v>
      </c>
      <c r="F48" s="116">
        <f>1966.3+21.84-88.8</f>
        <v>1899.34</v>
      </c>
      <c r="G48" s="117"/>
      <c r="H48" s="117"/>
    </row>
    <row r="49" spans="1:9" ht="29.25">
      <c r="A49" s="36" t="s">
        <v>1009</v>
      </c>
      <c r="B49" s="155" t="s">
        <v>86</v>
      </c>
      <c r="C49" s="155" t="s">
        <v>46</v>
      </c>
      <c r="D49" s="208" t="s">
        <v>1124</v>
      </c>
      <c r="E49" s="127" t="s">
        <v>23</v>
      </c>
      <c r="F49" s="116">
        <f>1966.3+21.84-88.8</f>
        <v>1899.34</v>
      </c>
      <c r="G49" s="117"/>
      <c r="H49" s="117"/>
    </row>
    <row r="50" spans="1:9" ht="29.25">
      <c r="A50" s="36" t="s">
        <v>1078</v>
      </c>
      <c r="B50" s="155" t="s">
        <v>86</v>
      </c>
      <c r="C50" s="155" t="s">
        <v>513</v>
      </c>
      <c r="D50" s="208" t="s">
        <v>1125</v>
      </c>
      <c r="E50" s="189" t="s">
        <v>25</v>
      </c>
      <c r="F50" s="116">
        <f>(250*0.4)+(120*0.4)</f>
        <v>148</v>
      </c>
      <c r="G50" s="117"/>
      <c r="H50" s="117"/>
    </row>
    <row r="51" spans="1:9" ht="29.25">
      <c r="A51" s="36" t="s">
        <v>1081</v>
      </c>
      <c r="B51" s="155" t="s">
        <v>86</v>
      </c>
      <c r="C51" s="155" t="s">
        <v>1098</v>
      </c>
      <c r="D51" s="228" t="s">
        <v>1201</v>
      </c>
      <c r="E51" s="206" t="s">
        <v>416</v>
      </c>
      <c r="F51" s="116">
        <v>1</v>
      </c>
      <c r="G51" s="117"/>
      <c r="H51" s="117"/>
    </row>
    <row r="52" spans="1:9">
      <c r="A52" s="36" t="s">
        <v>1091</v>
      </c>
      <c r="B52" s="265" t="s">
        <v>86</v>
      </c>
      <c r="C52" s="155" t="s">
        <v>1252</v>
      </c>
      <c r="D52" s="228" t="s">
        <v>1253</v>
      </c>
      <c r="E52" s="265" t="s">
        <v>27</v>
      </c>
      <c r="F52" s="116">
        <f>4*6</f>
        <v>24</v>
      </c>
      <c r="G52" s="117"/>
      <c r="H52" s="117"/>
    </row>
    <row r="53" spans="1:9">
      <c r="A53" s="36" t="s">
        <v>1094</v>
      </c>
      <c r="B53" s="155" t="s">
        <v>86</v>
      </c>
      <c r="C53" s="155" t="s">
        <v>663</v>
      </c>
      <c r="D53" s="228" t="s">
        <v>1202</v>
      </c>
      <c r="E53" s="206" t="s">
        <v>23</v>
      </c>
      <c r="F53" s="116">
        <f>ROUND(((3.6+3.6+1.8+1.8)*0.3),2)</f>
        <v>3.24</v>
      </c>
      <c r="G53" s="117"/>
      <c r="H53" s="117"/>
    </row>
    <row r="54" spans="1:9">
      <c r="A54" s="36" t="s">
        <v>1100</v>
      </c>
      <c r="B54" s="155" t="s">
        <v>86</v>
      </c>
      <c r="C54" s="155" t="s">
        <v>141</v>
      </c>
      <c r="D54" s="228" t="s">
        <v>1203</v>
      </c>
      <c r="E54" s="206" t="s">
        <v>25</v>
      </c>
      <c r="F54" s="116">
        <f>ROUND((3.6*1.8*0.2),2)</f>
        <v>1.3</v>
      </c>
      <c r="G54" s="117"/>
      <c r="H54" s="117"/>
    </row>
    <row r="55" spans="1:9">
      <c r="A55" s="36" t="s">
        <v>1101</v>
      </c>
      <c r="B55" s="155" t="s">
        <v>86</v>
      </c>
      <c r="C55" s="155" t="s">
        <v>146</v>
      </c>
      <c r="D55" s="228" t="s">
        <v>1204</v>
      </c>
      <c r="E55" s="206" t="s">
        <v>148</v>
      </c>
      <c r="F55" s="116">
        <f>ROUND((F54*90),2)</f>
        <v>117</v>
      </c>
      <c r="G55" s="117"/>
      <c r="H55" s="117"/>
    </row>
    <row r="56" spans="1:9">
      <c r="A56" s="36" t="s">
        <v>1106</v>
      </c>
      <c r="B56" s="155" t="s">
        <v>86</v>
      </c>
      <c r="C56" s="155" t="s">
        <v>150</v>
      </c>
      <c r="D56" s="228" t="s">
        <v>1205</v>
      </c>
      <c r="E56" s="206" t="s">
        <v>148</v>
      </c>
      <c r="F56" s="116">
        <f>(F54*16)</f>
        <v>20.8</v>
      </c>
      <c r="G56" s="117"/>
      <c r="H56" s="117"/>
    </row>
    <row r="57" spans="1:9" ht="30" customHeight="1">
      <c r="A57" s="36" t="s">
        <v>1114</v>
      </c>
      <c r="B57" s="155" t="s">
        <v>86</v>
      </c>
      <c r="C57" s="155" t="s">
        <v>661</v>
      </c>
      <c r="D57" s="228" t="s">
        <v>1207</v>
      </c>
      <c r="E57" s="206" t="s">
        <v>25</v>
      </c>
      <c r="F57" s="116">
        <f>F54</f>
        <v>1.3</v>
      </c>
      <c r="G57" s="117"/>
      <c r="H57" s="117"/>
    </row>
    <row r="58" spans="1:9" ht="30" customHeight="1">
      <c r="A58" s="36" t="s">
        <v>1251</v>
      </c>
      <c r="B58" s="155" t="s">
        <v>86</v>
      </c>
      <c r="C58" s="155" t="s">
        <v>1115</v>
      </c>
      <c r="D58" s="208" t="s">
        <v>1126</v>
      </c>
      <c r="E58" s="206" t="s">
        <v>27</v>
      </c>
      <c r="F58" s="116">
        <f>(15+29.5+42+12.5+21)</f>
        <v>120</v>
      </c>
      <c r="G58" s="117"/>
      <c r="H58" s="117"/>
    </row>
    <row r="59" spans="1:9">
      <c r="A59" s="36"/>
      <c r="B59" s="6"/>
      <c r="C59" s="6"/>
      <c r="D59" s="30" t="s">
        <v>33</v>
      </c>
      <c r="E59" s="6"/>
      <c r="F59" s="19"/>
      <c r="G59" s="16"/>
      <c r="H59" s="22"/>
    </row>
    <row r="60" spans="1:9">
      <c r="A60" s="10">
        <v>2</v>
      </c>
      <c r="B60" s="7"/>
      <c r="C60" s="7"/>
      <c r="D60" s="10" t="s">
        <v>45</v>
      </c>
      <c r="E60" s="13"/>
      <c r="F60" s="20"/>
      <c r="G60" s="18"/>
      <c r="H60" s="18"/>
      <c r="I60" s="24"/>
    </row>
    <row r="61" spans="1:9" ht="29.25">
      <c r="A61" s="41" t="s">
        <v>14</v>
      </c>
      <c r="B61" s="44" t="s">
        <v>86</v>
      </c>
      <c r="C61" s="56" t="s">
        <v>95</v>
      </c>
      <c r="D61" s="214" t="s">
        <v>1156</v>
      </c>
      <c r="E61" s="37" t="s">
        <v>25</v>
      </c>
      <c r="F61" s="51">
        <f>(2*1*248.8)</f>
        <v>497.6</v>
      </c>
      <c r="G61" s="40"/>
      <c r="H61" s="40"/>
    </row>
    <row r="62" spans="1:9" ht="29.25">
      <c r="A62" s="41" t="s">
        <v>41</v>
      </c>
      <c r="B62" s="44" t="s">
        <v>86</v>
      </c>
      <c r="C62" s="52" t="s">
        <v>42</v>
      </c>
      <c r="D62" s="208" t="s">
        <v>1127</v>
      </c>
      <c r="E62" s="37" t="s">
        <v>27</v>
      </c>
      <c r="F62" s="51">
        <v>153.80000000000001</v>
      </c>
      <c r="G62" s="40"/>
      <c r="H62" s="40"/>
    </row>
    <row r="63" spans="1:9">
      <c r="A63" s="41" t="s">
        <v>44</v>
      </c>
      <c r="B63" s="213" t="s">
        <v>86</v>
      </c>
      <c r="C63" s="52" t="s">
        <v>1157</v>
      </c>
      <c r="D63" s="214" t="s">
        <v>1158</v>
      </c>
      <c r="E63" s="213" t="s">
        <v>27</v>
      </c>
      <c r="F63" s="51">
        <v>95</v>
      </c>
      <c r="G63" s="40"/>
      <c r="H63" s="40"/>
    </row>
    <row r="64" spans="1:9" ht="29.25">
      <c r="A64" s="41" t="s">
        <v>49</v>
      </c>
      <c r="B64" s="44" t="s">
        <v>86</v>
      </c>
      <c r="C64" s="52" t="s">
        <v>87</v>
      </c>
      <c r="D64" s="208" t="s">
        <v>1128</v>
      </c>
      <c r="E64" s="37" t="s">
        <v>25</v>
      </c>
      <c r="F64" s="51">
        <f>F61*0.8</f>
        <v>398.08000000000004</v>
      </c>
      <c r="G64" s="40"/>
      <c r="H64" s="40"/>
    </row>
    <row r="65" spans="1:9">
      <c r="A65" s="41" t="s">
        <v>145</v>
      </c>
      <c r="B65" s="44" t="s">
        <v>86</v>
      </c>
      <c r="C65" s="73" t="s">
        <v>125</v>
      </c>
      <c r="D65" s="210" t="s">
        <v>1155</v>
      </c>
      <c r="E65" s="37" t="s">
        <v>26</v>
      </c>
      <c r="F65" s="51">
        <f>4+5</f>
        <v>9</v>
      </c>
      <c r="G65" s="40"/>
      <c r="H65" s="40"/>
    </row>
    <row r="66" spans="1:9">
      <c r="A66" s="41" t="s">
        <v>149</v>
      </c>
      <c r="B66" s="213" t="s">
        <v>86</v>
      </c>
      <c r="C66" s="73" t="s">
        <v>1159</v>
      </c>
      <c r="D66" s="214" t="s">
        <v>1160</v>
      </c>
      <c r="E66" s="213" t="s">
        <v>26</v>
      </c>
      <c r="F66" s="51">
        <v>1</v>
      </c>
      <c r="G66" s="40"/>
      <c r="H66" s="40"/>
    </row>
    <row r="67" spans="1:9">
      <c r="A67" s="41" t="s">
        <v>152</v>
      </c>
      <c r="B67" s="213" t="s">
        <v>86</v>
      </c>
      <c r="C67" s="213" t="s">
        <v>141</v>
      </c>
      <c r="D67" s="214" t="s">
        <v>1107</v>
      </c>
      <c r="E67" s="213" t="s">
        <v>25</v>
      </c>
      <c r="F67" s="51">
        <f>(1.8*0.1*3)+(3*2.1*0.1)+(0.7*0.1*3)+(3*1.4*0.1)+(1.71*0.1)</f>
        <v>1.9710000000000001</v>
      </c>
      <c r="G67" s="40"/>
      <c r="H67" s="40"/>
    </row>
    <row r="68" spans="1:9">
      <c r="A68" s="41" t="s">
        <v>154</v>
      </c>
      <c r="B68" s="213" t="s">
        <v>86</v>
      </c>
      <c r="C68" s="73" t="s">
        <v>146</v>
      </c>
      <c r="D68" s="214" t="s">
        <v>1103</v>
      </c>
      <c r="E68" s="213" t="s">
        <v>148</v>
      </c>
      <c r="F68" s="51">
        <f>F67*80</f>
        <v>157.68</v>
      </c>
      <c r="G68" s="40"/>
      <c r="H68" s="40"/>
    </row>
    <row r="69" spans="1:9">
      <c r="A69" s="41" t="s">
        <v>156</v>
      </c>
      <c r="B69" s="213" t="s">
        <v>86</v>
      </c>
      <c r="C69" s="73" t="s">
        <v>150</v>
      </c>
      <c r="D69" s="214" t="s">
        <v>1104</v>
      </c>
      <c r="E69" s="213" t="s">
        <v>148</v>
      </c>
      <c r="F69" s="51">
        <f>F67*14</f>
        <v>27.594000000000001</v>
      </c>
      <c r="G69" s="40"/>
      <c r="H69" s="40"/>
    </row>
    <row r="70" spans="1:9" ht="30" customHeight="1">
      <c r="A70" s="41" t="s">
        <v>158</v>
      </c>
      <c r="B70" s="213" t="s">
        <v>86</v>
      </c>
      <c r="C70" s="73" t="s">
        <v>661</v>
      </c>
      <c r="D70" s="214" t="s">
        <v>1105</v>
      </c>
      <c r="E70" s="213" t="s">
        <v>25</v>
      </c>
      <c r="F70" s="51">
        <f>F67</f>
        <v>1.9710000000000001</v>
      </c>
      <c r="G70" s="40"/>
      <c r="H70" s="40"/>
    </row>
    <row r="71" spans="1:9">
      <c r="A71" s="41" t="s">
        <v>160</v>
      </c>
      <c r="B71" s="216" t="s">
        <v>86</v>
      </c>
      <c r="C71" s="217" t="s">
        <v>1161</v>
      </c>
      <c r="D71" s="218" t="s">
        <v>1162</v>
      </c>
      <c r="E71" s="216" t="s">
        <v>23</v>
      </c>
      <c r="F71" s="219">
        <f>(5.5*2)+2.25</f>
        <v>13.25</v>
      </c>
      <c r="G71" s="215"/>
      <c r="H71" s="215"/>
    </row>
    <row r="72" spans="1:9">
      <c r="A72" s="41" t="s">
        <v>1163</v>
      </c>
      <c r="B72" s="216" t="s">
        <v>86</v>
      </c>
      <c r="C72" s="217" t="s">
        <v>219</v>
      </c>
      <c r="D72" s="218" t="s">
        <v>220</v>
      </c>
      <c r="E72" s="216" t="s">
        <v>23</v>
      </c>
      <c r="F72" s="219">
        <f>F71*2</f>
        <v>26.5</v>
      </c>
      <c r="G72" s="215"/>
      <c r="H72" s="215"/>
    </row>
    <row r="73" spans="1:9">
      <c r="A73" s="41" t="s">
        <v>1164</v>
      </c>
      <c r="B73" s="216" t="s">
        <v>86</v>
      </c>
      <c r="C73" s="217" t="s">
        <v>217</v>
      </c>
      <c r="D73" s="218" t="s">
        <v>525</v>
      </c>
      <c r="E73" s="216" t="s">
        <v>23</v>
      </c>
      <c r="F73" s="219">
        <f>F72</f>
        <v>26.5</v>
      </c>
      <c r="G73" s="215"/>
      <c r="H73" s="215"/>
    </row>
    <row r="74" spans="1:9">
      <c r="A74" s="41" t="s">
        <v>1165</v>
      </c>
      <c r="B74" s="216" t="s">
        <v>86</v>
      </c>
      <c r="C74" s="217" t="s">
        <v>663</v>
      </c>
      <c r="D74" s="218" t="s">
        <v>1102</v>
      </c>
      <c r="E74" s="216" t="s">
        <v>23</v>
      </c>
      <c r="F74" s="219">
        <f>(1.8*3)+(0.7*3)</f>
        <v>7.5</v>
      </c>
      <c r="G74" s="215"/>
      <c r="H74" s="215"/>
    </row>
    <row r="75" spans="1:9" ht="43.5">
      <c r="A75" s="41" t="s">
        <v>1166</v>
      </c>
      <c r="B75" s="44" t="s">
        <v>86</v>
      </c>
      <c r="C75" s="73" t="s">
        <v>1034</v>
      </c>
      <c r="D75" s="208" t="s">
        <v>1129</v>
      </c>
      <c r="E75" s="184" t="s">
        <v>25</v>
      </c>
      <c r="F75" s="51">
        <f>(0.5*1*1.5*3)</f>
        <v>2.25</v>
      </c>
      <c r="G75" s="40"/>
      <c r="H75" s="40"/>
    </row>
    <row r="76" spans="1:9" ht="43.5">
      <c r="A76" s="41" t="s">
        <v>1167</v>
      </c>
      <c r="B76" s="44" t="s">
        <v>86</v>
      </c>
      <c r="C76" s="73" t="s">
        <v>1044</v>
      </c>
      <c r="D76" s="208" t="s">
        <v>1130</v>
      </c>
      <c r="E76" s="184" t="s">
        <v>25</v>
      </c>
      <c r="F76" s="51">
        <f>(1*1*1.5*6)</f>
        <v>9</v>
      </c>
      <c r="G76" s="40"/>
      <c r="H76" s="40"/>
    </row>
    <row r="77" spans="1:9">
      <c r="A77" s="12"/>
      <c r="B77" s="6"/>
      <c r="C77" s="6"/>
      <c r="D77" s="30" t="s">
        <v>34</v>
      </c>
      <c r="E77" s="6"/>
      <c r="F77" s="19"/>
      <c r="G77" s="16"/>
      <c r="H77" s="22"/>
    </row>
    <row r="78" spans="1:9">
      <c r="A78" s="10">
        <v>3</v>
      </c>
      <c r="B78" s="7"/>
      <c r="C78" s="7"/>
      <c r="D78" s="10" t="s">
        <v>51</v>
      </c>
      <c r="E78" s="13"/>
      <c r="F78" s="20"/>
      <c r="G78" s="18"/>
      <c r="H78" s="17"/>
      <c r="I78" s="24"/>
    </row>
    <row r="79" spans="1:9" ht="45" customHeight="1">
      <c r="A79" s="246" t="s">
        <v>15</v>
      </c>
      <c r="B79" s="44" t="s">
        <v>86</v>
      </c>
      <c r="C79" s="245" t="s">
        <v>63</v>
      </c>
      <c r="D79" s="28" t="s">
        <v>1140</v>
      </c>
      <c r="E79" s="37" t="s">
        <v>23</v>
      </c>
      <c r="F79" s="19">
        <f>(4681.06-1814.1)+1780.94</f>
        <v>4647.9000000000005</v>
      </c>
      <c r="G79" s="16"/>
      <c r="H79" s="16"/>
    </row>
    <row r="80" spans="1:9">
      <c r="A80" s="12"/>
      <c r="B80" s="6"/>
      <c r="C80" s="6"/>
      <c r="D80" s="31" t="s">
        <v>35</v>
      </c>
      <c r="E80" s="6"/>
      <c r="F80" s="19"/>
      <c r="G80" s="16"/>
      <c r="H80" s="22"/>
    </row>
    <row r="81" spans="1:9">
      <c r="A81" s="10">
        <v>4</v>
      </c>
      <c r="B81" s="7"/>
      <c r="C81" s="13"/>
      <c r="D81" s="10" t="s">
        <v>50</v>
      </c>
      <c r="E81" s="13"/>
      <c r="F81" s="13"/>
      <c r="G81" s="18"/>
      <c r="H81" s="17"/>
      <c r="I81" s="24"/>
    </row>
    <row r="82" spans="1:9">
      <c r="A82" s="55" t="s">
        <v>16</v>
      </c>
      <c r="B82" s="44" t="s">
        <v>86</v>
      </c>
      <c r="C82" s="37" t="s">
        <v>48</v>
      </c>
      <c r="D82" s="25" t="s">
        <v>1131</v>
      </c>
      <c r="E82" s="37" t="s">
        <v>25</v>
      </c>
      <c r="F82" s="19">
        <f>F83*0.04</f>
        <v>49.013199999999998</v>
      </c>
      <c r="G82" s="16"/>
      <c r="H82" s="16"/>
    </row>
    <row r="83" spans="1:9" ht="29.25">
      <c r="A83" s="55" t="s">
        <v>17</v>
      </c>
      <c r="B83" s="44" t="s">
        <v>86</v>
      </c>
      <c r="C83" s="245" t="s">
        <v>53</v>
      </c>
      <c r="D83" s="28" t="s">
        <v>1132</v>
      </c>
      <c r="E83" s="43" t="s">
        <v>23</v>
      </c>
      <c r="F83" s="19">
        <f>179.48+281.55+764.3</f>
        <v>1225.33</v>
      </c>
      <c r="G83" s="16"/>
      <c r="H83" s="16"/>
    </row>
    <row r="84" spans="1:9">
      <c r="A84" s="55" t="s">
        <v>93</v>
      </c>
      <c r="B84" s="44" t="s">
        <v>86</v>
      </c>
      <c r="C84" s="44" t="s">
        <v>58</v>
      </c>
      <c r="D84" s="28" t="s">
        <v>1133</v>
      </c>
      <c r="E84" s="43" t="s">
        <v>23</v>
      </c>
      <c r="F84" s="19">
        <f>F83</f>
        <v>1225.33</v>
      </c>
      <c r="G84" s="16"/>
      <c r="H84" s="16"/>
    </row>
    <row r="85" spans="1:9" ht="29.25">
      <c r="A85" s="55" t="s">
        <v>94</v>
      </c>
      <c r="B85" s="44" t="s">
        <v>86</v>
      </c>
      <c r="C85" s="44" t="s">
        <v>46</v>
      </c>
      <c r="D85" s="28" t="s">
        <v>1134</v>
      </c>
      <c r="E85" s="43" t="s">
        <v>23</v>
      </c>
      <c r="F85" s="19">
        <f>F83</f>
        <v>1225.33</v>
      </c>
      <c r="G85" s="16"/>
      <c r="H85" s="16"/>
    </row>
    <row r="86" spans="1:9">
      <c r="A86" s="12"/>
      <c r="B86" s="6"/>
      <c r="C86" s="6"/>
      <c r="D86" s="31" t="s">
        <v>36</v>
      </c>
      <c r="E86" s="6"/>
      <c r="F86" s="19"/>
      <c r="G86" s="16"/>
      <c r="H86" s="22"/>
    </row>
    <row r="87" spans="1:9">
      <c r="A87" s="10">
        <v>5</v>
      </c>
      <c r="B87" s="7"/>
      <c r="C87" s="13"/>
      <c r="D87" s="10" t="s">
        <v>61</v>
      </c>
      <c r="E87" s="13"/>
      <c r="F87" s="13"/>
      <c r="G87" s="18"/>
      <c r="H87" s="17"/>
      <c r="I87" s="24"/>
    </row>
    <row r="88" spans="1:9" ht="43.5">
      <c r="A88" s="248" t="s">
        <v>18</v>
      </c>
      <c r="B88" s="232" t="s">
        <v>86</v>
      </c>
      <c r="C88" s="247" t="s">
        <v>63</v>
      </c>
      <c r="D88" s="234" t="s">
        <v>1135</v>
      </c>
      <c r="E88" s="239" t="s">
        <v>23</v>
      </c>
      <c r="F88" s="242">
        <f>190.14+32.92+1127.55+1057.6+200</f>
        <v>2608.21</v>
      </c>
      <c r="G88" s="240"/>
      <c r="H88" s="240"/>
    </row>
    <row r="89" spans="1:9" ht="29.25">
      <c r="A89" s="248" t="s">
        <v>52</v>
      </c>
      <c r="B89" s="232" t="s">
        <v>86</v>
      </c>
      <c r="C89" s="243" t="s">
        <v>1112</v>
      </c>
      <c r="D89" s="249" t="s">
        <v>1213</v>
      </c>
      <c r="E89" s="239" t="s">
        <v>27</v>
      </c>
      <c r="F89" s="219">
        <f>(124.8+123.2+134)</f>
        <v>382</v>
      </c>
      <c r="G89" s="240"/>
      <c r="H89" s="240"/>
    </row>
    <row r="90" spans="1:9" ht="29.25">
      <c r="A90" s="248" t="s">
        <v>54</v>
      </c>
      <c r="B90" s="243" t="s">
        <v>86</v>
      </c>
      <c r="C90" s="243" t="s">
        <v>89</v>
      </c>
      <c r="D90" s="234" t="s">
        <v>1136</v>
      </c>
      <c r="E90" s="243" t="s">
        <v>23</v>
      </c>
      <c r="F90" s="219">
        <f>ROUND((F89*0.16),2)</f>
        <v>61.12</v>
      </c>
      <c r="G90" s="240"/>
      <c r="H90" s="240"/>
    </row>
    <row r="91" spans="1:9">
      <c r="A91" s="12"/>
      <c r="B91" s="6"/>
      <c r="C91" s="6"/>
      <c r="D91" s="32" t="s">
        <v>60</v>
      </c>
      <c r="E91" s="6"/>
      <c r="F91" s="19"/>
      <c r="G91" s="16"/>
      <c r="H91" s="22"/>
    </row>
    <row r="92" spans="1:9">
      <c r="A92" s="10">
        <v>6</v>
      </c>
      <c r="B92" s="13"/>
      <c r="C92" s="13"/>
      <c r="D92" s="10" t="s">
        <v>67</v>
      </c>
      <c r="E92" s="13"/>
      <c r="F92" s="13"/>
      <c r="G92" s="18"/>
      <c r="H92" s="17"/>
      <c r="I92" s="24"/>
    </row>
    <row r="93" spans="1:9" ht="29.25">
      <c r="A93" s="248" t="s">
        <v>62</v>
      </c>
      <c r="B93" s="232" t="s">
        <v>86</v>
      </c>
      <c r="C93" s="241" t="s">
        <v>1214</v>
      </c>
      <c r="D93" s="130" t="s">
        <v>1216</v>
      </c>
      <c r="E93" s="239" t="s">
        <v>25</v>
      </c>
      <c r="F93" s="219">
        <f>ROUND((2451.77/25.64),2)</f>
        <v>95.62</v>
      </c>
      <c r="G93" s="240"/>
      <c r="H93" s="240"/>
    </row>
    <row r="94" spans="1:9">
      <c r="A94" s="248" t="s">
        <v>64</v>
      </c>
      <c r="B94" s="232" t="s">
        <v>86</v>
      </c>
      <c r="C94" s="239" t="s">
        <v>1215</v>
      </c>
      <c r="D94" s="130" t="s">
        <v>1217</v>
      </c>
      <c r="E94" s="241" t="s">
        <v>25</v>
      </c>
      <c r="F94" s="219">
        <f>ROUND((2451.77/25.64),2)</f>
        <v>95.62</v>
      </c>
      <c r="G94" s="240"/>
      <c r="H94" s="240"/>
    </row>
    <row r="95" spans="1:9">
      <c r="A95" s="12"/>
      <c r="B95" s="6"/>
      <c r="C95" s="6"/>
      <c r="D95" s="32" t="s">
        <v>66</v>
      </c>
      <c r="E95" s="6"/>
      <c r="F95" s="19"/>
      <c r="G95" s="16"/>
      <c r="H95" s="22"/>
    </row>
    <row r="96" spans="1:9">
      <c r="A96" s="10">
        <v>7</v>
      </c>
      <c r="B96" s="13"/>
      <c r="C96" s="13"/>
      <c r="D96" s="10" t="s">
        <v>72</v>
      </c>
      <c r="E96" s="13"/>
      <c r="F96" s="13"/>
      <c r="G96" s="18"/>
      <c r="H96" s="17"/>
      <c r="I96" s="24"/>
    </row>
    <row r="97" spans="1:8">
      <c r="A97" s="55" t="s">
        <v>68</v>
      </c>
      <c r="B97" s="44" t="s">
        <v>86</v>
      </c>
      <c r="C97" s="44" t="s">
        <v>74</v>
      </c>
      <c r="D97" s="209" t="s">
        <v>1139</v>
      </c>
      <c r="E97" s="43" t="s">
        <v>23</v>
      </c>
      <c r="F97" s="19">
        <f>(0.2*69.05)+(0.1*42.28)+(0.4*10)+(1.2*1.2*3)+2</f>
        <v>28.358000000000001</v>
      </c>
      <c r="G97" s="16"/>
      <c r="H97" s="16"/>
    </row>
    <row r="98" spans="1:8" s="50" customFormat="1" ht="30" customHeight="1">
      <c r="A98" s="55" t="s">
        <v>69</v>
      </c>
      <c r="B98" s="45" t="s">
        <v>86</v>
      </c>
      <c r="C98" s="250" t="s">
        <v>76</v>
      </c>
      <c r="D98" s="252" t="s">
        <v>1221</v>
      </c>
      <c r="E98" s="47" t="s">
        <v>23</v>
      </c>
      <c r="F98" s="48">
        <f>ROUND((0.3*0.4*3),2)</f>
        <v>0.36</v>
      </c>
      <c r="G98" s="49"/>
      <c r="H98" s="16"/>
    </row>
    <row r="99" spans="1:8" ht="29.25">
      <c r="A99" s="55" t="s">
        <v>70</v>
      </c>
      <c r="B99" s="44" t="s">
        <v>86</v>
      </c>
      <c r="C99" s="6" t="s">
        <v>77</v>
      </c>
      <c r="D99" s="252" t="s">
        <v>1222</v>
      </c>
      <c r="E99" s="43" t="s">
        <v>23</v>
      </c>
      <c r="F99" s="48">
        <f>ROUND((0.3*0.4*3),2)</f>
        <v>0.36</v>
      </c>
      <c r="G99" s="16"/>
      <c r="H99" s="16"/>
    </row>
    <row r="100" spans="1:8">
      <c r="A100" s="55" t="s">
        <v>223</v>
      </c>
      <c r="B100" s="44" t="s">
        <v>86</v>
      </c>
      <c r="C100" s="44" t="s">
        <v>1257</v>
      </c>
      <c r="D100" s="267" t="s">
        <v>1258</v>
      </c>
      <c r="E100" s="260" t="s">
        <v>148</v>
      </c>
      <c r="F100" s="48">
        <f>ROUND((5.65*2.5*3),2)</f>
        <v>42.38</v>
      </c>
      <c r="G100" s="16"/>
      <c r="H100" s="16"/>
    </row>
    <row r="101" spans="1:8">
      <c r="A101" s="12"/>
      <c r="B101" s="6"/>
      <c r="C101" s="6"/>
      <c r="D101" s="32" t="s">
        <v>71</v>
      </c>
      <c r="E101" s="6"/>
      <c r="F101" s="19"/>
      <c r="G101" s="16"/>
      <c r="H101" s="22"/>
    </row>
    <row r="102" spans="1:8">
      <c r="A102" s="10">
        <v>8</v>
      </c>
      <c r="B102" s="10"/>
      <c r="C102" s="10"/>
      <c r="D102" s="10" t="s">
        <v>105</v>
      </c>
      <c r="E102" s="10"/>
      <c r="F102" s="10"/>
      <c r="G102" s="10"/>
      <c r="H102" s="10"/>
    </row>
    <row r="103" spans="1:8">
      <c r="A103" s="70" t="s">
        <v>73</v>
      </c>
      <c r="B103" s="71" t="s">
        <v>86</v>
      </c>
      <c r="C103" s="6" t="s">
        <v>106</v>
      </c>
      <c r="D103" s="27" t="s">
        <v>107</v>
      </c>
      <c r="E103" s="71" t="s">
        <v>108</v>
      </c>
      <c r="F103" s="19">
        <v>1</v>
      </c>
      <c r="G103" s="16"/>
      <c r="H103" s="72"/>
    </row>
    <row r="104" spans="1:8" ht="29.25">
      <c r="A104" s="70" t="s">
        <v>75</v>
      </c>
      <c r="B104" s="112" t="s">
        <v>86</v>
      </c>
      <c r="C104" s="175" t="s">
        <v>699</v>
      </c>
      <c r="D104" s="130" t="s">
        <v>1141</v>
      </c>
      <c r="E104" s="129" t="s">
        <v>26</v>
      </c>
      <c r="F104" s="154">
        <f>16+11+6</f>
        <v>33</v>
      </c>
      <c r="G104" s="16"/>
      <c r="H104" s="72"/>
    </row>
    <row r="105" spans="1:8" ht="29.25">
      <c r="A105" s="70" t="s">
        <v>78</v>
      </c>
      <c r="B105" s="112" t="s">
        <v>86</v>
      </c>
      <c r="C105" s="127" t="s">
        <v>700</v>
      </c>
      <c r="D105" s="208" t="s">
        <v>1142</v>
      </c>
      <c r="E105" s="112" t="s">
        <v>26</v>
      </c>
      <c r="F105" s="19">
        <f>F104*4</f>
        <v>132</v>
      </c>
      <c r="G105" s="16"/>
      <c r="H105" s="72"/>
    </row>
    <row r="106" spans="1:8" ht="29.25">
      <c r="A106" s="70" t="s">
        <v>109</v>
      </c>
      <c r="B106" s="71" t="s">
        <v>86</v>
      </c>
      <c r="C106" s="71" t="s">
        <v>123</v>
      </c>
      <c r="D106" s="208" t="s">
        <v>1143</v>
      </c>
      <c r="E106" s="71" t="s">
        <v>26</v>
      </c>
      <c r="F106" s="19">
        <f>F105</f>
        <v>132</v>
      </c>
      <c r="G106" s="16"/>
      <c r="H106" s="72"/>
    </row>
    <row r="107" spans="1:8" ht="29.25">
      <c r="A107" s="70" t="s">
        <v>112</v>
      </c>
      <c r="B107" s="71" t="s">
        <v>86</v>
      </c>
      <c r="C107" s="71" t="s">
        <v>124</v>
      </c>
      <c r="D107" s="208" t="s">
        <v>1144</v>
      </c>
      <c r="E107" s="71" t="s">
        <v>26</v>
      </c>
      <c r="F107" s="19">
        <f>F106</f>
        <v>132</v>
      </c>
      <c r="G107" s="16"/>
      <c r="H107" s="72"/>
    </row>
    <row r="108" spans="1:8" ht="29.25">
      <c r="A108" s="70" t="s">
        <v>113</v>
      </c>
      <c r="B108" s="71" t="s">
        <v>86</v>
      </c>
      <c r="C108" s="6" t="s">
        <v>110</v>
      </c>
      <c r="D108" s="208" t="s">
        <v>1145</v>
      </c>
      <c r="E108" s="71" t="s">
        <v>27</v>
      </c>
      <c r="F108" s="19">
        <f>23+23+16.76+21.25</f>
        <v>84.01</v>
      </c>
      <c r="G108" s="16"/>
      <c r="H108" s="72"/>
    </row>
    <row r="109" spans="1:8" ht="29.25">
      <c r="A109" s="70" t="s">
        <v>114</v>
      </c>
      <c r="B109" s="71" t="s">
        <v>86</v>
      </c>
      <c r="C109" s="6" t="s">
        <v>111</v>
      </c>
      <c r="D109" s="208" t="s">
        <v>1146</v>
      </c>
      <c r="E109" s="71" t="s">
        <v>27</v>
      </c>
      <c r="F109" s="19">
        <f>23+23+16.76+21.25</f>
        <v>84.01</v>
      </c>
      <c r="G109" s="16"/>
      <c r="H109" s="72"/>
    </row>
    <row r="110" spans="1:8" ht="29.25">
      <c r="A110" s="70" t="s">
        <v>117</v>
      </c>
      <c r="B110" s="71" t="s">
        <v>86</v>
      </c>
      <c r="C110" s="6" t="s">
        <v>118</v>
      </c>
      <c r="D110" s="208" t="s">
        <v>1147</v>
      </c>
      <c r="E110" s="71" t="s">
        <v>26</v>
      </c>
      <c r="F110" s="19">
        <f>8+5+2</f>
        <v>15</v>
      </c>
      <c r="G110" s="16"/>
      <c r="H110" s="72"/>
    </row>
    <row r="111" spans="1:8" ht="29.25">
      <c r="A111" s="70" t="s">
        <v>120</v>
      </c>
      <c r="B111" s="71" t="s">
        <v>86</v>
      </c>
      <c r="C111" s="6" t="s">
        <v>115</v>
      </c>
      <c r="D111" s="208" t="s">
        <v>1148</v>
      </c>
      <c r="E111" s="71" t="s">
        <v>27</v>
      </c>
      <c r="F111" s="19">
        <f>((72.8+15.92)*2)+194.86+261.72</f>
        <v>634.02</v>
      </c>
      <c r="G111" s="16"/>
      <c r="H111" s="72"/>
    </row>
    <row r="112" spans="1:8" ht="29.25">
      <c r="A112" s="70" t="s">
        <v>121</v>
      </c>
      <c r="B112" s="71" t="s">
        <v>86</v>
      </c>
      <c r="C112" s="71" t="s">
        <v>119</v>
      </c>
      <c r="D112" s="208" t="s">
        <v>1149</v>
      </c>
      <c r="E112" s="71" t="s">
        <v>27</v>
      </c>
      <c r="F112" s="19">
        <f>72.8+15.92+141.35+208.21</f>
        <v>438.28</v>
      </c>
      <c r="G112" s="16"/>
      <c r="H112" s="72"/>
    </row>
    <row r="113" spans="1:9" ht="29.25">
      <c r="A113" s="70" t="s">
        <v>122</v>
      </c>
      <c r="B113" s="71" t="s">
        <v>86</v>
      </c>
      <c r="C113" s="71" t="s">
        <v>95</v>
      </c>
      <c r="D113" s="208" t="s">
        <v>1150</v>
      </c>
      <c r="E113" s="71" t="s">
        <v>25</v>
      </c>
      <c r="F113" s="19">
        <f>(F112+F108)*0.4*0.5</f>
        <v>104.458</v>
      </c>
      <c r="G113" s="16"/>
      <c r="H113" s="72"/>
    </row>
    <row r="114" spans="1:9">
      <c r="A114" s="70" t="s">
        <v>701</v>
      </c>
      <c r="B114" s="71" t="s">
        <v>86</v>
      </c>
      <c r="C114" s="71" t="s">
        <v>48</v>
      </c>
      <c r="D114" s="208" t="s">
        <v>1151</v>
      </c>
      <c r="E114" s="71" t="s">
        <v>25</v>
      </c>
      <c r="F114" s="19">
        <f>(F108+F112)*0.5*0.03</f>
        <v>7.8343499999999988</v>
      </c>
      <c r="G114" s="16"/>
      <c r="H114" s="72"/>
    </row>
    <row r="115" spans="1:9" ht="29.25">
      <c r="A115" s="70" t="s">
        <v>1010</v>
      </c>
      <c r="B115" s="112" t="s">
        <v>86</v>
      </c>
      <c r="C115" s="112" t="s">
        <v>697</v>
      </c>
      <c r="D115" s="208" t="s">
        <v>1152</v>
      </c>
      <c r="E115" s="127" t="s">
        <v>26</v>
      </c>
      <c r="F115" s="116">
        <v>20</v>
      </c>
      <c r="G115" s="117"/>
      <c r="H115" s="117"/>
    </row>
    <row r="116" spans="1:9">
      <c r="A116" s="70" t="s">
        <v>1011</v>
      </c>
      <c r="B116" s="112" t="s">
        <v>86</v>
      </c>
      <c r="C116" s="112" t="s">
        <v>371</v>
      </c>
      <c r="D116" s="208" t="s">
        <v>1153</v>
      </c>
      <c r="E116" s="127" t="s">
        <v>26</v>
      </c>
      <c r="F116" s="116">
        <v>20</v>
      </c>
      <c r="G116" s="117"/>
      <c r="H116" s="117"/>
    </row>
    <row r="117" spans="1:9">
      <c r="A117" s="12"/>
      <c r="B117" s="6"/>
      <c r="C117" s="6"/>
      <c r="D117" s="32" t="s">
        <v>80</v>
      </c>
      <c r="E117" s="6"/>
      <c r="F117" s="19"/>
      <c r="G117" s="16"/>
      <c r="H117" s="22"/>
    </row>
    <row r="118" spans="1:9">
      <c r="A118" s="10">
        <v>9</v>
      </c>
      <c r="B118" s="13"/>
      <c r="C118" s="13"/>
      <c r="D118" s="10" t="s">
        <v>79</v>
      </c>
      <c r="E118" s="13"/>
      <c r="F118" s="13"/>
      <c r="G118" s="18"/>
      <c r="H118" s="17"/>
      <c r="I118" s="24"/>
    </row>
    <row r="119" spans="1:9">
      <c r="A119" s="70" t="s">
        <v>81</v>
      </c>
      <c r="B119" s="44" t="s">
        <v>86</v>
      </c>
      <c r="C119" s="43" t="s">
        <v>56</v>
      </c>
      <c r="D119" s="25" t="s">
        <v>57</v>
      </c>
      <c r="E119" s="43" t="s">
        <v>23</v>
      </c>
      <c r="F119" s="6">
        <f>60.82+205.84+98.53+16.33+589.5</f>
        <v>971.02</v>
      </c>
      <c r="G119" s="16"/>
      <c r="H119" s="16"/>
    </row>
    <row r="120" spans="1:9">
      <c r="A120" s="70" t="s">
        <v>101</v>
      </c>
      <c r="B120" s="44" t="s">
        <v>86</v>
      </c>
      <c r="C120" s="43" t="s">
        <v>58</v>
      </c>
      <c r="D120" s="28" t="s">
        <v>59</v>
      </c>
      <c r="E120" s="43" t="s">
        <v>23</v>
      </c>
      <c r="F120" s="6">
        <f>F119</f>
        <v>971.02</v>
      </c>
      <c r="G120" s="16"/>
      <c r="H120" s="16"/>
    </row>
    <row r="121" spans="1:9">
      <c r="A121" s="70" t="s">
        <v>102</v>
      </c>
      <c r="B121" s="44" t="s">
        <v>86</v>
      </c>
      <c r="C121" s="176" t="s">
        <v>82</v>
      </c>
      <c r="D121" s="28" t="s">
        <v>84</v>
      </c>
      <c r="E121" s="43" t="s">
        <v>26</v>
      </c>
      <c r="F121" s="54">
        <f>8+10</f>
        <v>18</v>
      </c>
      <c r="G121" s="16"/>
      <c r="H121" s="16"/>
    </row>
    <row r="122" spans="1:9">
      <c r="A122" s="70" t="s">
        <v>248</v>
      </c>
      <c r="B122" s="44" t="s">
        <v>86</v>
      </c>
      <c r="C122" s="176" t="s">
        <v>1109</v>
      </c>
      <c r="D122" s="28" t="s">
        <v>1110</v>
      </c>
      <c r="E122" s="43" t="s">
        <v>26</v>
      </c>
      <c r="F122" s="54">
        <v>15</v>
      </c>
      <c r="G122" s="16"/>
      <c r="H122" s="16"/>
    </row>
    <row r="123" spans="1:9">
      <c r="A123" s="12"/>
      <c r="B123" s="6"/>
      <c r="C123" s="6"/>
      <c r="D123" s="32" t="s">
        <v>83</v>
      </c>
      <c r="E123" s="6"/>
      <c r="F123" s="6"/>
      <c r="G123" s="16"/>
      <c r="H123" s="22"/>
    </row>
    <row r="124" spans="1:9">
      <c r="A124" s="10">
        <v>10</v>
      </c>
      <c r="B124" s="13"/>
      <c r="C124" s="13"/>
      <c r="D124" s="7" t="s">
        <v>22</v>
      </c>
      <c r="E124" s="13"/>
      <c r="F124" s="13"/>
      <c r="G124" s="18"/>
      <c r="H124" s="18"/>
      <c r="I124" s="24"/>
    </row>
    <row r="125" spans="1:9">
      <c r="A125" s="70" t="s">
        <v>103</v>
      </c>
      <c r="B125" s="44" t="s">
        <v>86</v>
      </c>
      <c r="C125" s="52" t="s">
        <v>28</v>
      </c>
      <c r="D125" s="1" t="s">
        <v>32</v>
      </c>
      <c r="E125" s="6" t="s">
        <v>23</v>
      </c>
      <c r="F125" s="154">
        <f>610.92+589.5+1877.5</f>
        <v>3077.92</v>
      </c>
      <c r="G125" s="16"/>
      <c r="H125" s="16"/>
    </row>
    <row r="126" spans="1:9">
      <c r="A126" s="12"/>
      <c r="B126" s="6"/>
      <c r="C126" s="6"/>
      <c r="D126" s="31" t="s">
        <v>104</v>
      </c>
      <c r="E126" s="6"/>
      <c r="F126" s="19"/>
      <c r="G126" s="16"/>
      <c r="H126" s="22"/>
    </row>
    <row r="127" spans="1:9" ht="9" customHeight="1">
      <c r="A127" s="103"/>
      <c r="B127" s="104"/>
      <c r="C127" s="104"/>
      <c r="D127" s="105"/>
      <c r="E127" s="104"/>
      <c r="F127" s="104"/>
      <c r="G127" s="105"/>
      <c r="H127" s="105"/>
    </row>
    <row r="128" spans="1:9">
      <c r="A128" s="11"/>
      <c r="B128" s="15"/>
      <c r="C128" s="15"/>
      <c r="D128" s="102" t="s">
        <v>512</v>
      </c>
      <c r="E128" s="15"/>
      <c r="F128" s="15"/>
      <c r="G128" s="2"/>
      <c r="H128" s="18"/>
      <c r="I128" s="26"/>
    </row>
    <row r="129" spans="1:9" ht="9" customHeight="1">
      <c r="A129" s="12"/>
      <c r="B129" s="6"/>
      <c r="C129" s="6"/>
      <c r="D129" s="14"/>
      <c r="E129" s="6"/>
      <c r="F129" s="6"/>
      <c r="G129" s="21"/>
      <c r="H129" s="23"/>
      <c r="I129" s="26"/>
    </row>
    <row r="130" spans="1:9" ht="15.75">
      <c r="A130" s="106" t="s">
        <v>590</v>
      </c>
      <c r="B130" s="96"/>
      <c r="C130" s="96"/>
      <c r="D130" s="97" t="s">
        <v>132</v>
      </c>
      <c r="E130" s="2"/>
      <c r="F130" s="2"/>
      <c r="G130" s="2"/>
      <c r="H130" s="18"/>
      <c r="I130" s="29"/>
    </row>
    <row r="131" spans="1:9" ht="9" customHeight="1">
      <c r="A131" s="12"/>
      <c r="B131" s="12"/>
      <c r="C131" s="12"/>
      <c r="D131" s="12"/>
      <c r="E131" s="12"/>
      <c r="F131" s="12"/>
      <c r="G131" s="12"/>
      <c r="H131" s="12"/>
      <c r="I131" s="77"/>
    </row>
    <row r="132" spans="1:9">
      <c r="A132" s="10">
        <v>1</v>
      </c>
      <c r="B132" s="79"/>
      <c r="C132" s="79"/>
      <c r="D132" s="10" t="s">
        <v>13</v>
      </c>
      <c r="E132" s="79"/>
      <c r="F132" s="79"/>
      <c r="G132" s="80"/>
      <c r="H132" s="80"/>
    </row>
    <row r="133" spans="1:9">
      <c r="A133" s="254" t="s">
        <v>9</v>
      </c>
      <c r="B133" s="82" t="s">
        <v>86</v>
      </c>
      <c r="C133" s="82" t="s">
        <v>133</v>
      </c>
      <c r="D133" s="86" t="s">
        <v>134</v>
      </c>
      <c r="E133" s="82" t="s">
        <v>23</v>
      </c>
      <c r="F133" s="84">
        <v>99.8</v>
      </c>
      <c r="G133" s="85"/>
      <c r="H133" s="85"/>
      <c r="I133" s="24"/>
    </row>
    <row r="134" spans="1:9">
      <c r="A134" s="254" t="s">
        <v>10</v>
      </c>
      <c r="B134" s="82" t="s">
        <v>86</v>
      </c>
      <c r="C134" s="82" t="s">
        <v>90</v>
      </c>
      <c r="D134" s="86" t="s">
        <v>91</v>
      </c>
      <c r="E134" s="82" t="s">
        <v>92</v>
      </c>
      <c r="F134" s="84">
        <v>5</v>
      </c>
      <c r="G134" s="85"/>
      <c r="H134" s="85"/>
    </row>
    <row r="135" spans="1:9">
      <c r="A135" s="87"/>
      <c r="B135" s="82"/>
      <c r="C135" s="82"/>
      <c r="D135" s="32" t="s">
        <v>33</v>
      </c>
      <c r="E135" s="82"/>
      <c r="F135" s="84"/>
      <c r="G135" s="85"/>
      <c r="H135" s="22"/>
    </row>
    <row r="136" spans="1:9">
      <c r="A136" s="10">
        <v>2</v>
      </c>
      <c r="B136" s="7"/>
      <c r="C136" s="7"/>
      <c r="D136" s="10" t="s">
        <v>135</v>
      </c>
      <c r="E136" s="13"/>
      <c r="F136" s="13"/>
      <c r="G136" s="18"/>
      <c r="H136" s="18"/>
    </row>
    <row r="137" spans="1:9" ht="29.25">
      <c r="A137" s="86" t="s">
        <v>14</v>
      </c>
      <c r="B137" s="82" t="s">
        <v>86</v>
      </c>
      <c r="C137" s="82" t="s">
        <v>136</v>
      </c>
      <c r="D137" s="83" t="s">
        <v>137</v>
      </c>
      <c r="E137" s="82" t="s">
        <v>138</v>
      </c>
      <c r="F137" s="84">
        <v>1</v>
      </c>
      <c r="G137" s="85"/>
      <c r="H137" s="85"/>
      <c r="I137" s="24"/>
    </row>
    <row r="138" spans="1:9">
      <c r="A138" s="86" t="s">
        <v>41</v>
      </c>
      <c r="B138" s="82" t="s">
        <v>86</v>
      </c>
      <c r="C138" s="82" t="s">
        <v>139</v>
      </c>
      <c r="D138" s="86" t="s">
        <v>140</v>
      </c>
      <c r="E138" s="82" t="s">
        <v>27</v>
      </c>
      <c r="F138" s="84">
        <f>(26*8)</f>
        <v>208</v>
      </c>
      <c r="G138" s="85"/>
      <c r="H138" s="85"/>
    </row>
    <row r="139" spans="1:9">
      <c r="A139" s="86" t="s">
        <v>44</v>
      </c>
      <c r="B139" s="256" t="s">
        <v>86</v>
      </c>
      <c r="C139" s="82" t="s">
        <v>594</v>
      </c>
      <c r="D139" s="86" t="s">
        <v>595</v>
      </c>
      <c r="E139" s="256" t="s">
        <v>27</v>
      </c>
      <c r="F139" s="84">
        <f>(2*5)</f>
        <v>10</v>
      </c>
      <c r="G139" s="85"/>
      <c r="H139" s="85"/>
    </row>
    <row r="140" spans="1:9">
      <c r="A140" s="86" t="s">
        <v>49</v>
      </c>
      <c r="B140" s="82" t="s">
        <v>86</v>
      </c>
      <c r="C140" s="82" t="s">
        <v>141</v>
      </c>
      <c r="D140" s="86" t="s">
        <v>142</v>
      </c>
      <c r="E140" s="82" t="s">
        <v>25</v>
      </c>
      <c r="F140" s="84">
        <f>(0.2*0.3*57.38)</f>
        <v>3.4428000000000001</v>
      </c>
      <c r="G140" s="85"/>
      <c r="H140" s="85"/>
    </row>
    <row r="141" spans="1:9" ht="15" customHeight="1">
      <c r="A141" s="86" t="s">
        <v>145</v>
      </c>
      <c r="B141" s="82" t="s">
        <v>86</v>
      </c>
      <c r="C141" s="82" t="s">
        <v>143</v>
      </c>
      <c r="D141" s="83" t="s">
        <v>144</v>
      </c>
      <c r="E141" s="82" t="s">
        <v>25</v>
      </c>
      <c r="F141" s="84">
        <f>F140</f>
        <v>3.4428000000000001</v>
      </c>
      <c r="G141" s="85"/>
      <c r="H141" s="85"/>
    </row>
    <row r="142" spans="1:9">
      <c r="A142" s="86" t="s">
        <v>149</v>
      </c>
      <c r="B142" s="82" t="s">
        <v>86</v>
      </c>
      <c r="C142" s="82" t="s">
        <v>146</v>
      </c>
      <c r="D142" s="86" t="s">
        <v>147</v>
      </c>
      <c r="E142" s="82" t="s">
        <v>148</v>
      </c>
      <c r="F142" s="84">
        <f>F140*80</f>
        <v>275.42399999999998</v>
      </c>
      <c r="G142" s="85"/>
      <c r="H142" s="85"/>
    </row>
    <row r="143" spans="1:9">
      <c r="A143" s="86" t="s">
        <v>152</v>
      </c>
      <c r="B143" s="82" t="s">
        <v>86</v>
      </c>
      <c r="C143" s="82" t="s">
        <v>150</v>
      </c>
      <c r="D143" s="86" t="s">
        <v>151</v>
      </c>
      <c r="E143" s="82" t="s">
        <v>148</v>
      </c>
      <c r="F143" s="84">
        <f>F140*14</f>
        <v>48.199200000000005</v>
      </c>
      <c r="G143" s="85"/>
      <c r="H143" s="85"/>
    </row>
    <row r="144" spans="1:9">
      <c r="A144" s="86" t="s">
        <v>154</v>
      </c>
      <c r="B144" s="82" t="s">
        <v>86</v>
      </c>
      <c r="C144" s="82" t="s">
        <v>141</v>
      </c>
      <c r="D144" s="86" t="s">
        <v>153</v>
      </c>
      <c r="E144" s="82" t="s">
        <v>25</v>
      </c>
      <c r="F144" s="84">
        <f>(0.5*0.5*0.4*26)</f>
        <v>2.6</v>
      </c>
      <c r="G144" s="85"/>
      <c r="H144" s="85"/>
    </row>
    <row r="145" spans="1:8" ht="29.25">
      <c r="A145" s="86" t="s">
        <v>156</v>
      </c>
      <c r="B145" s="82" t="s">
        <v>86</v>
      </c>
      <c r="C145" s="82" t="s">
        <v>143</v>
      </c>
      <c r="D145" s="83" t="s">
        <v>155</v>
      </c>
      <c r="E145" s="82" t="s">
        <v>25</v>
      </c>
      <c r="F145" s="84">
        <f>F144</f>
        <v>2.6</v>
      </c>
      <c r="G145" s="85"/>
      <c r="H145" s="85"/>
    </row>
    <row r="146" spans="1:8">
      <c r="A146" s="86" t="s">
        <v>158</v>
      </c>
      <c r="B146" s="82" t="s">
        <v>86</v>
      </c>
      <c r="C146" s="82" t="s">
        <v>146</v>
      </c>
      <c r="D146" s="86" t="s">
        <v>157</v>
      </c>
      <c r="E146" s="82" t="s">
        <v>148</v>
      </c>
      <c r="F146" s="84">
        <f>F144*80</f>
        <v>208</v>
      </c>
      <c r="G146" s="85"/>
      <c r="H146" s="85"/>
    </row>
    <row r="147" spans="1:8">
      <c r="A147" s="86" t="s">
        <v>160</v>
      </c>
      <c r="B147" s="82" t="s">
        <v>86</v>
      </c>
      <c r="C147" s="82" t="s">
        <v>150</v>
      </c>
      <c r="D147" s="86" t="s">
        <v>159</v>
      </c>
      <c r="E147" s="82" t="s">
        <v>148</v>
      </c>
      <c r="F147" s="84">
        <f>F144*14</f>
        <v>36.4</v>
      </c>
      <c r="G147" s="85"/>
      <c r="H147" s="85"/>
    </row>
    <row r="148" spans="1:8">
      <c r="A148" s="86" t="s">
        <v>1163</v>
      </c>
      <c r="B148" s="82" t="s">
        <v>86</v>
      </c>
      <c r="C148" s="82" t="s">
        <v>161</v>
      </c>
      <c r="D148" s="86" t="s">
        <v>162</v>
      </c>
      <c r="E148" s="82" t="s">
        <v>25</v>
      </c>
      <c r="F148" s="84">
        <f>((0.2*57.38)+(0.5*0.5))*0.03</f>
        <v>0.35178000000000004</v>
      </c>
      <c r="G148" s="85"/>
      <c r="H148" s="85"/>
    </row>
    <row r="149" spans="1:8">
      <c r="A149" s="86"/>
      <c r="B149" s="82"/>
      <c r="C149" s="88"/>
      <c r="D149" s="32" t="s">
        <v>34</v>
      </c>
      <c r="E149" s="82"/>
      <c r="F149" s="84"/>
      <c r="G149" s="85"/>
      <c r="H149" s="22"/>
    </row>
    <row r="150" spans="1:8">
      <c r="A150" s="10">
        <v>3</v>
      </c>
      <c r="B150" s="7"/>
      <c r="C150" s="7"/>
      <c r="D150" s="10" t="s">
        <v>163</v>
      </c>
      <c r="E150" s="13"/>
      <c r="F150" s="13"/>
      <c r="G150" s="18"/>
      <c r="H150" s="80"/>
    </row>
    <row r="151" spans="1:8" ht="29.25">
      <c r="A151" s="86" t="s">
        <v>15</v>
      </c>
      <c r="B151" s="82" t="s">
        <v>86</v>
      </c>
      <c r="C151" s="82" t="s">
        <v>141</v>
      </c>
      <c r="D151" s="83" t="s">
        <v>164</v>
      </c>
      <c r="E151" s="82" t="s">
        <v>25</v>
      </c>
      <c r="F151" s="84">
        <f>(0.15*0.25*6*10)+(0.15*0.25*3*16)</f>
        <v>4.05</v>
      </c>
      <c r="G151" s="85"/>
      <c r="H151" s="85"/>
    </row>
    <row r="152" spans="1:8">
      <c r="A152" s="86" t="s">
        <v>47</v>
      </c>
      <c r="B152" s="82" t="s">
        <v>86</v>
      </c>
      <c r="C152" s="82" t="s">
        <v>146</v>
      </c>
      <c r="D152" s="25" t="s">
        <v>165</v>
      </c>
      <c r="E152" s="82" t="s">
        <v>148</v>
      </c>
      <c r="F152" s="84">
        <f>80*F151</f>
        <v>324</v>
      </c>
      <c r="G152" s="85"/>
      <c r="H152" s="85"/>
    </row>
    <row r="153" spans="1:8">
      <c r="A153" s="86" t="s">
        <v>166</v>
      </c>
      <c r="B153" s="82" t="s">
        <v>86</v>
      </c>
      <c r="C153" s="82" t="s">
        <v>150</v>
      </c>
      <c r="D153" s="25" t="s">
        <v>167</v>
      </c>
      <c r="E153" s="82" t="s">
        <v>148</v>
      </c>
      <c r="F153" s="84">
        <f>14*F151</f>
        <v>56.699999999999996</v>
      </c>
      <c r="G153" s="85"/>
      <c r="H153" s="85"/>
    </row>
    <row r="154" spans="1:8" ht="29.25">
      <c r="A154" s="86" t="s">
        <v>168</v>
      </c>
      <c r="B154" s="82" t="s">
        <v>86</v>
      </c>
      <c r="C154" s="82" t="s">
        <v>141</v>
      </c>
      <c r="D154" s="83" t="s">
        <v>169</v>
      </c>
      <c r="E154" s="82" t="s">
        <v>25</v>
      </c>
      <c r="F154" s="84">
        <f>(0.15*0.3*75.98)+(0.08*0.3*11.93)</f>
        <v>3.7054200000000002</v>
      </c>
      <c r="G154" s="85"/>
      <c r="H154" s="85"/>
    </row>
    <row r="155" spans="1:8">
      <c r="A155" s="86" t="s">
        <v>170</v>
      </c>
      <c r="B155" s="82" t="s">
        <v>86</v>
      </c>
      <c r="C155" s="82" t="s">
        <v>146</v>
      </c>
      <c r="D155" s="25" t="s">
        <v>171</v>
      </c>
      <c r="E155" s="82" t="s">
        <v>148</v>
      </c>
      <c r="F155" s="84">
        <f>80*F154</f>
        <v>296.43360000000001</v>
      </c>
      <c r="G155" s="85"/>
      <c r="H155" s="85"/>
    </row>
    <row r="156" spans="1:8">
      <c r="A156" s="86" t="s">
        <v>172</v>
      </c>
      <c r="B156" s="82" t="s">
        <v>86</v>
      </c>
      <c r="C156" s="82" t="s">
        <v>150</v>
      </c>
      <c r="D156" s="25" t="s">
        <v>173</v>
      </c>
      <c r="E156" s="82" t="s">
        <v>148</v>
      </c>
      <c r="F156" s="84">
        <f>14*F154</f>
        <v>51.875880000000002</v>
      </c>
      <c r="G156" s="85"/>
      <c r="H156" s="85"/>
    </row>
    <row r="157" spans="1:8">
      <c r="A157" s="86" t="s">
        <v>174</v>
      </c>
      <c r="B157" s="82" t="s">
        <v>86</v>
      </c>
      <c r="C157" s="82" t="s">
        <v>175</v>
      </c>
      <c r="D157" s="86" t="s">
        <v>176</v>
      </c>
      <c r="E157" s="82" t="s">
        <v>25</v>
      </c>
      <c r="F157" s="84">
        <f>((5.65*2)+(2.57*2)+1.9+2.4+0.9+1.2+2+1.6+(1.75*2)+(0.5*2))*0.15*0.15</f>
        <v>0.69614999999999982</v>
      </c>
      <c r="G157" s="85"/>
      <c r="H157" s="85"/>
    </row>
    <row r="158" spans="1:8" ht="29.25">
      <c r="A158" s="86" t="s">
        <v>177</v>
      </c>
      <c r="B158" s="82" t="s">
        <v>86</v>
      </c>
      <c r="C158" s="82" t="s">
        <v>178</v>
      </c>
      <c r="D158" s="28" t="s">
        <v>179</v>
      </c>
      <c r="E158" s="82" t="s">
        <v>23</v>
      </c>
      <c r="F158" s="84">
        <f>18.2+21.85+24.61+2.84+11.85</f>
        <v>79.349999999999994</v>
      </c>
      <c r="G158" s="85"/>
      <c r="H158" s="85"/>
    </row>
    <row r="159" spans="1:8" ht="29.25">
      <c r="A159" s="86" t="s">
        <v>180</v>
      </c>
      <c r="B159" s="82" t="s">
        <v>86</v>
      </c>
      <c r="C159" s="82" t="s">
        <v>181</v>
      </c>
      <c r="D159" s="28" t="s">
        <v>182</v>
      </c>
      <c r="E159" s="82" t="s">
        <v>23</v>
      </c>
      <c r="F159" s="84">
        <f>24.09+7.37</f>
        <v>31.46</v>
      </c>
      <c r="G159" s="85"/>
      <c r="H159" s="85"/>
    </row>
    <row r="160" spans="1:8">
      <c r="A160" s="86" t="s">
        <v>183</v>
      </c>
      <c r="B160" s="82" t="s">
        <v>86</v>
      </c>
      <c r="C160" s="82" t="s">
        <v>184</v>
      </c>
      <c r="D160" s="86" t="s">
        <v>185</v>
      </c>
      <c r="E160" s="82" t="s">
        <v>25</v>
      </c>
      <c r="F160" s="84">
        <f>99.8*0.05</f>
        <v>4.99</v>
      </c>
      <c r="G160" s="85"/>
      <c r="H160" s="85"/>
    </row>
    <row r="161" spans="1:8">
      <c r="A161" s="86" t="s">
        <v>186</v>
      </c>
      <c r="B161" s="82" t="s">
        <v>86</v>
      </c>
      <c r="C161" s="82" t="s">
        <v>187</v>
      </c>
      <c r="D161" s="86" t="s">
        <v>188</v>
      </c>
      <c r="E161" s="82" t="s">
        <v>23</v>
      </c>
      <c r="F161" s="84">
        <f>0.25*2*20</f>
        <v>10</v>
      </c>
      <c r="G161" s="85"/>
      <c r="H161" s="85"/>
    </row>
    <row r="162" spans="1:8">
      <c r="A162" s="86" t="s">
        <v>189</v>
      </c>
      <c r="B162" s="82" t="s">
        <v>86</v>
      </c>
      <c r="C162" s="82" t="s">
        <v>190</v>
      </c>
      <c r="D162" s="86" t="s">
        <v>191</v>
      </c>
      <c r="E162" s="82" t="s">
        <v>25</v>
      </c>
      <c r="F162" s="84">
        <f>F151+F154+F160</f>
        <v>12.745419999999999</v>
      </c>
      <c r="G162" s="85"/>
      <c r="H162" s="85"/>
    </row>
    <row r="163" spans="1:8">
      <c r="A163" s="86"/>
      <c r="B163" s="82"/>
      <c r="C163" s="82"/>
      <c r="D163" s="31" t="s">
        <v>35</v>
      </c>
      <c r="E163" s="82"/>
      <c r="F163" s="84"/>
      <c r="G163" s="85"/>
      <c r="H163" s="22"/>
    </row>
    <row r="164" spans="1:8">
      <c r="A164" s="10">
        <v>4</v>
      </c>
      <c r="B164" s="7"/>
      <c r="C164" s="7"/>
      <c r="D164" s="10" t="s">
        <v>192</v>
      </c>
      <c r="E164" s="13"/>
      <c r="F164" s="13"/>
      <c r="G164" s="18"/>
      <c r="H164" s="80"/>
    </row>
    <row r="165" spans="1:8">
      <c r="A165" s="86" t="s">
        <v>16</v>
      </c>
      <c r="B165" s="82" t="s">
        <v>86</v>
      </c>
      <c r="C165" s="82" t="s">
        <v>193</v>
      </c>
      <c r="D165" s="25" t="s">
        <v>194</v>
      </c>
      <c r="E165" s="82" t="s">
        <v>25</v>
      </c>
      <c r="F165" s="84">
        <f>(57.38*0.15*0.2)*1.3</f>
        <v>2.2378200000000001</v>
      </c>
      <c r="G165" s="85"/>
      <c r="H165" s="85"/>
    </row>
    <row r="166" spans="1:8">
      <c r="A166" s="86" t="s">
        <v>17</v>
      </c>
      <c r="B166" s="82" t="s">
        <v>86</v>
      </c>
      <c r="C166" s="82" t="s">
        <v>195</v>
      </c>
      <c r="D166" s="25" t="s">
        <v>196</v>
      </c>
      <c r="E166" s="82" t="s">
        <v>23</v>
      </c>
      <c r="F166" s="84">
        <f>(46.8*2.6)+(25.53*2.2)</f>
        <v>177.846</v>
      </c>
      <c r="G166" s="85"/>
      <c r="H166" s="85"/>
    </row>
    <row r="167" spans="1:8" ht="29.25">
      <c r="A167" s="86" t="s">
        <v>93</v>
      </c>
      <c r="B167" s="82" t="s">
        <v>86</v>
      </c>
      <c r="C167" s="82" t="s">
        <v>181</v>
      </c>
      <c r="D167" s="28" t="s">
        <v>197</v>
      </c>
      <c r="E167" s="82" t="s">
        <v>23</v>
      </c>
      <c r="F167" s="84">
        <f>(57.38*0.55)+(46.78*1.5)</f>
        <v>101.72900000000001</v>
      </c>
      <c r="G167" s="85"/>
      <c r="H167" s="85"/>
    </row>
    <row r="168" spans="1:8" ht="29.25">
      <c r="A168" s="86" t="s">
        <v>94</v>
      </c>
      <c r="B168" s="82" t="s">
        <v>86</v>
      </c>
      <c r="C168" s="82" t="s">
        <v>198</v>
      </c>
      <c r="D168" s="28" t="s">
        <v>199</v>
      </c>
      <c r="E168" s="82" t="s">
        <v>23</v>
      </c>
      <c r="F168" s="84">
        <f>(57.38*0.4)</f>
        <v>22.952000000000002</v>
      </c>
      <c r="G168" s="85"/>
      <c r="H168" s="85"/>
    </row>
    <row r="169" spans="1:8">
      <c r="A169" s="86"/>
      <c r="B169" s="82"/>
      <c r="C169" s="82"/>
      <c r="D169" s="89" t="s">
        <v>36</v>
      </c>
      <c r="E169" s="82"/>
      <c r="F169" s="84"/>
      <c r="G169" s="85"/>
      <c r="H169" s="22"/>
    </row>
    <row r="170" spans="1:8">
      <c r="A170" s="10">
        <v>5</v>
      </c>
      <c r="B170" s="7"/>
      <c r="C170" s="13"/>
      <c r="D170" s="10" t="s">
        <v>200</v>
      </c>
      <c r="E170" s="13"/>
      <c r="F170" s="13"/>
      <c r="G170" s="18"/>
      <c r="H170" s="80"/>
    </row>
    <row r="171" spans="1:8">
      <c r="A171" s="86" t="s">
        <v>18</v>
      </c>
      <c r="B171" s="82" t="s">
        <v>86</v>
      </c>
      <c r="C171" s="82" t="s">
        <v>201</v>
      </c>
      <c r="D171" s="25" t="s">
        <v>202</v>
      </c>
      <c r="E171" s="82" t="s">
        <v>23</v>
      </c>
      <c r="F171" s="84">
        <f>(99.8-31.46)*1.077</f>
        <v>73.602180000000004</v>
      </c>
      <c r="G171" s="85"/>
      <c r="H171" s="85"/>
    </row>
    <row r="172" spans="1:8">
      <c r="A172" s="86" t="s">
        <v>52</v>
      </c>
      <c r="B172" s="82" t="s">
        <v>86</v>
      </c>
      <c r="C172" s="82" t="s">
        <v>203</v>
      </c>
      <c r="D172" s="25" t="s">
        <v>204</v>
      </c>
      <c r="E172" s="82" t="s">
        <v>23</v>
      </c>
      <c r="F172" s="84">
        <f>(99.8-31.46)*1.077</f>
        <v>73.602180000000004</v>
      </c>
      <c r="G172" s="85"/>
      <c r="H172" s="85"/>
    </row>
    <row r="173" spans="1:8">
      <c r="A173" s="86" t="s">
        <v>54</v>
      </c>
      <c r="B173" s="82" t="s">
        <v>86</v>
      </c>
      <c r="C173" s="82" t="s">
        <v>205</v>
      </c>
      <c r="D173" s="25" t="s">
        <v>206</v>
      </c>
      <c r="E173" s="82" t="s">
        <v>27</v>
      </c>
      <c r="F173" s="84">
        <v>3.6</v>
      </c>
      <c r="G173" s="85"/>
      <c r="H173" s="85"/>
    </row>
    <row r="174" spans="1:8">
      <c r="A174" s="86" t="s">
        <v>55</v>
      </c>
      <c r="B174" s="82" t="s">
        <v>86</v>
      </c>
      <c r="C174" s="82" t="s">
        <v>207</v>
      </c>
      <c r="D174" s="86" t="s">
        <v>208</v>
      </c>
      <c r="E174" s="82" t="s">
        <v>27</v>
      </c>
      <c r="F174" s="84">
        <v>7.45</v>
      </c>
      <c r="G174" s="85"/>
      <c r="H174" s="85"/>
    </row>
    <row r="175" spans="1:8">
      <c r="A175" s="86" t="s">
        <v>209</v>
      </c>
      <c r="B175" s="82" t="s">
        <v>86</v>
      </c>
      <c r="C175" s="82" t="s">
        <v>207</v>
      </c>
      <c r="D175" s="86" t="s">
        <v>210</v>
      </c>
      <c r="E175" s="82" t="s">
        <v>27</v>
      </c>
      <c r="F175" s="84">
        <f>6.8+3.5+5.5+2.23+4.4+6.7</f>
        <v>29.13</v>
      </c>
      <c r="G175" s="85"/>
      <c r="H175" s="85"/>
    </row>
    <row r="176" spans="1:8">
      <c r="A176" s="86" t="s">
        <v>211</v>
      </c>
      <c r="B176" s="82" t="s">
        <v>86</v>
      </c>
      <c r="C176" s="82" t="s">
        <v>207</v>
      </c>
      <c r="D176" s="81" t="s">
        <v>212</v>
      </c>
      <c r="E176" s="82" t="s">
        <v>27</v>
      </c>
      <c r="F176" s="84">
        <v>6.2</v>
      </c>
      <c r="G176" s="85"/>
      <c r="H176" s="85"/>
    </row>
    <row r="177" spans="1:8">
      <c r="A177" s="86"/>
      <c r="B177" s="82"/>
      <c r="C177" s="82"/>
      <c r="D177" s="31" t="s">
        <v>60</v>
      </c>
      <c r="E177" s="82"/>
      <c r="F177" s="84"/>
      <c r="G177" s="85"/>
      <c r="H177" s="22"/>
    </row>
    <row r="178" spans="1:8">
      <c r="A178" s="10">
        <v>6</v>
      </c>
      <c r="B178" s="7"/>
      <c r="C178" s="13"/>
      <c r="D178" s="10" t="s">
        <v>213</v>
      </c>
      <c r="E178" s="13"/>
      <c r="F178" s="13"/>
      <c r="G178" s="18"/>
      <c r="H178" s="80"/>
    </row>
    <row r="179" spans="1:8">
      <c r="A179" s="86" t="s">
        <v>62</v>
      </c>
      <c r="B179" s="82" t="s">
        <v>86</v>
      </c>
      <c r="C179" s="82" t="s">
        <v>214</v>
      </c>
      <c r="D179" s="28" t="s">
        <v>215</v>
      </c>
      <c r="E179" s="82" t="s">
        <v>23</v>
      </c>
      <c r="F179" s="84">
        <f>32.08*1.077</f>
        <v>34.550159999999998</v>
      </c>
      <c r="G179" s="85"/>
      <c r="H179" s="85"/>
    </row>
    <row r="180" spans="1:8" ht="30" customHeight="1">
      <c r="A180" s="86" t="s">
        <v>64</v>
      </c>
      <c r="B180" s="82" t="s">
        <v>86</v>
      </c>
      <c r="C180" s="82" t="s">
        <v>682</v>
      </c>
      <c r="D180" s="28" t="s">
        <v>683</v>
      </c>
      <c r="E180" s="82" t="s">
        <v>23</v>
      </c>
      <c r="F180" s="84">
        <f>F179</f>
        <v>34.550159999999998</v>
      </c>
      <c r="G180" s="85"/>
      <c r="H180" s="85"/>
    </row>
    <row r="181" spans="1:8">
      <c r="A181" s="86"/>
      <c r="B181" s="82"/>
      <c r="C181" s="82"/>
      <c r="D181" s="32" t="s">
        <v>66</v>
      </c>
      <c r="E181" s="82"/>
      <c r="F181" s="84"/>
      <c r="G181" s="85"/>
      <c r="H181" s="22"/>
    </row>
    <row r="182" spans="1:8">
      <c r="A182" s="10">
        <v>7</v>
      </c>
      <c r="B182" s="13"/>
      <c r="C182" s="13"/>
      <c r="D182" s="10" t="s">
        <v>216</v>
      </c>
      <c r="E182" s="13"/>
      <c r="F182" s="13"/>
      <c r="G182" s="18"/>
      <c r="H182" s="80"/>
    </row>
    <row r="183" spans="1:8">
      <c r="A183" s="86" t="s">
        <v>68</v>
      </c>
      <c r="B183" s="82" t="s">
        <v>86</v>
      </c>
      <c r="C183" s="82" t="s">
        <v>217</v>
      </c>
      <c r="D183" s="86" t="s">
        <v>218</v>
      </c>
      <c r="E183" s="82" t="s">
        <v>23</v>
      </c>
      <c r="F183" s="84">
        <f>(46.78*2.6*2)+(25.53*2.2)+79.35</f>
        <v>378.77200000000005</v>
      </c>
      <c r="G183" s="85"/>
      <c r="H183" s="85"/>
    </row>
    <row r="184" spans="1:8">
      <c r="A184" s="86" t="s">
        <v>69</v>
      </c>
      <c r="B184" s="82" t="s">
        <v>86</v>
      </c>
      <c r="C184" s="82" t="s">
        <v>219</v>
      </c>
      <c r="D184" s="25" t="s">
        <v>220</v>
      </c>
      <c r="E184" s="82" t="s">
        <v>23</v>
      </c>
      <c r="F184" s="84">
        <f>F183</f>
        <v>378.77200000000005</v>
      </c>
      <c r="G184" s="85"/>
      <c r="H184" s="85"/>
    </row>
    <row r="185" spans="1:8" ht="43.5">
      <c r="A185" s="86" t="s">
        <v>70</v>
      </c>
      <c r="B185" s="82" t="s">
        <v>86</v>
      </c>
      <c r="C185" s="82" t="s">
        <v>221</v>
      </c>
      <c r="D185" s="28" t="s">
        <v>222</v>
      </c>
      <c r="E185" s="82" t="s">
        <v>23</v>
      </c>
      <c r="F185" s="84">
        <f>(7.1*2)-(0.9*2)-(0.2*1)</f>
        <v>12.2</v>
      </c>
      <c r="G185" s="85"/>
      <c r="H185" s="85"/>
    </row>
    <row r="186" spans="1:8" ht="43.5">
      <c r="A186" s="86" t="s">
        <v>223</v>
      </c>
      <c r="B186" s="82" t="s">
        <v>86</v>
      </c>
      <c r="C186" s="82" t="s">
        <v>221</v>
      </c>
      <c r="D186" s="28" t="s">
        <v>224</v>
      </c>
      <c r="E186" s="82" t="s">
        <v>23</v>
      </c>
      <c r="F186" s="84">
        <f>(5.84*2)-(0.8*2)-(0.8*0.2)</f>
        <v>9.92</v>
      </c>
      <c r="G186" s="85"/>
      <c r="H186" s="85"/>
    </row>
    <row r="187" spans="1:8" ht="43.5">
      <c r="A187" s="86" t="s">
        <v>225</v>
      </c>
      <c r="B187" s="82" t="s">
        <v>86</v>
      </c>
      <c r="C187" s="82" t="s">
        <v>221</v>
      </c>
      <c r="D187" s="28" t="s">
        <v>226</v>
      </c>
      <c r="E187" s="82" t="s">
        <v>23</v>
      </c>
      <c r="F187" s="84">
        <f>(9.95*2)-(0.8*2)-(1.2*1)</f>
        <v>17.099999999999998</v>
      </c>
      <c r="G187" s="85"/>
      <c r="H187" s="85"/>
    </row>
    <row r="188" spans="1:8" ht="43.5">
      <c r="A188" s="86" t="s">
        <v>227</v>
      </c>
      <c r="B188" s="82" t="s">
        <v>86</v>
      </c>
      <c r="C188" s="82" t="s">
        <v>221</v>
      </c>
      <c r="D188" s="28" t="s">
        <v>228</v>
      </c>
      <c r="E188" s="82" t="s">
        <v>23</v>
      </c>
      <c r="F188" s="84">
        <f>(3.19*2)-(0.8*2)</f>
        <v>4.7799999999999994</v>
      </c>
      <c r="G188" s="85"/>
      <c r="H188" s="85"/>
    </row>
    <row r="189" spans="1:8" ht="29.25">
      <c r="A189" s="86" t="s">
        <v>229</v>
      </c>
      <c r="B189" s="82" t="s">
        <v>86</v>
      </c>
      <c r="C189" s="82" t="s">
        <v>230</v>
      </c>
      <c r="D189" s="90" t="s">
        <v>231</v>
      </c>
      <c r="E189" s="82" t="s">
        <v>23</v>
      </c>
      <c r="F189" s="84">
        <f>F185+F186+F187+F188</f>
        <v>44</v>
      </c>
      <c r="G189" s="85"/>
      <c r="H189" s="85"/>
    </row>
    <row r="190" spans="1:8">
      <c r="A190" s="86"/>
      <c r="B190" s="82"/>
      <c r="C190" s="82"/>
      <c r="D190" s="89" t="s">
        <v>232</v>
      </c>
      <c r="E190" s="82"/>
      <c r="F190" s="84"/>
      <c r="G190" s="85"/>
      <c r="H190" s="22"/>
    </row>
    <row r="191" spans="1:8">
      <c r="A191" s="10">
        <v>8</v>
      </c>
      <c r="B191" s="13"/>
      <c r="C191" s="13"/>
      <c r="D191" s="10" t="s">
        <v>233</v>
      </c>
      <c r="E191" s="13"/>
      <c r="F191" s="20"/>
      <c r="G191" s="18"/>
      <c r="H191" s="80"/>
    </row>
    <row r="192" spans="1:8" ht="43.5">
      <c r="A192" s="86" t="s">
        <v>73</v>
      </c>
      <c r="B192" s="82" t="s">
        <v>86</v>
      </c>
      <c r="C192" s="82" t="s">
        <v>221</v>
      </c>
      <c r="D192" s="28" t="s">
        <v>234</v>
      </c>
      <c r="E192" s="82" t="s">
        <v>23</v>
      </c>
      <c r="F192" s="84">
        <f>((2.3+1.9)*1.5/2)+(1.62*0.93/2)</f>
        <v>3.9032999999999998</v>
      </c>
      <c r="G192" s="85"/>
      <c r="H192" s="85"/>
    </row>
    <row r="193" spans="1:8" ht="45" customHeight="1">
      <c r="A193" s="86" t="s">
        <v>75</v>
      </c>
      <c r="B193" s="82" t="s">
        <v>86</v>
      </c>
      <c r="C193" s="82" t="s">
        <v>221</v>
      </c>
      <c r="D193" s="28" t="s">
        <v>235</v>
      </c>
      <c r="E193" s="82" t="s">
        <v>23</v>
      </c>
      <c r="F193" s="84">
        <f>((1.7+0.8)*1.77/2)+(1.83*0.7/2)</f>
        <v>2.8529999999999998</v>
      </c>
      <c r="G193" s="85"/>
      <c r="H193" s="85"/>
    </row>
    <row r="194" spans="1:8" ht="43.5">
      <c r="A194" s="86" t="s">
        <v>78</v>
      </c>
      <c r="B194" s="82" t="s">
        <v>86</v>
      </c>
      <c r="C194" s="82" t="s">
        <v>236</v>
      </c>
      <c r="D194" s="28" t="s">
        <v>237</v>
      </c>
      <c r="E194" s="82" t="s">
        <v>27</v>
      </c>
      <c r="F194" s="84">
        <f>1.9+1.5+2.3+0.93+1.62+0.81+1.77+1.7+0.7+1.83-1.6</f>
        <v>13.459999999999999</v>
      </c>
      <c r="G194" s="85"/>
      <c r="H194" s="85"/>
    </row>
    <row r="195" spans="1:8" ht="29.25">
      <c r="A195" s="86" t="s">
        <v>109</v>
      </c>
      <c r="B195" s="82" t="s">
        <v>86</v>
      </c>
      <c r="C195" s="82" t="s">
        <v>230</v>
      </c>
      <c r="D195" s="28" t="s">
        <v>231</v>
      </c>
      <c r="E195" s="82" t="s">
        <v>23</v>
      </c>
      <c r="F195" s="84">
        <f>F192+F193+F197</f>
        <v>108.08879999999998</v>
      </c>
      <c r="G195" s="85"/>
      <c r="H195" s="85"/>
    </row>
    <row r="196" spans="1:8" ht="29.25">
      <c r="A196" s="86" t="s">
        <v>112</v>
      </c>
      <c r="B196" s="82" t="s">
        <v>86</v>
      </c>
      <c r="C196" s="82" t="s">
        <v>238</v>
      </c>
      <c r="D196" s="28" t="s">
        <v>239</v>
      </c>
      <c r="E196" s="82" t="s">
        <v>27</v>
      </c>
      <c r="F196" s="84">
        <f>F194+F198</f>
        <v>66.88</v>
      </c>
      <c r="G196" s="85"/>
      <c r="H196" s="85"/>
    </row>
    <row r="197" spans="1:8" ht="43.5">
      <c r="A197" s="86" t="s">
        <v>113</v>
      </c>
      <c r="B197" s="82" t="s">
        <v>86</v>
      </c>
      <c r="C197" s="82" t="s">
        <v>240</v>
      </c>
      <c r="D197" s="28" t="s">
        <v>241</v>
      </c>
      <c r="E197" s="82" t="s">
        <v>23</v>
      </c>
      <c r="F197" s="84">
        <f>50.21+43.61+((2.31+1.72)*2.5/2)+(2.2*2.25/2)</f>
        <v>101.33249999999998</v>
      </c>
      <c r="G197" s="85"/>
      <c r="H197" s="85"/>
    </row>
    <row r="198" spans="1:8" ht="43.5">
      <c r="A198" s="86" t="s">
        <v>114</v>
      </c>
      <c r="B198" s="82" t="s">
        <v>86</v>
      </c>
      <c r="C198" s="82" t="s">
        <v>242</v>
      </c>
      <c r="D198" s="126" t="s">
        <v>693</v>
      </c>
      <c r="E198" s="82" t="s">
        <v>27</v>
      </c>
      <c r="F198" s="84">
        <f>43.61+0.93+1.72+2.5+2.31+2.35</f>
        <v>53.42</v>
      </c>
      <c r="G198" s="85"/>
      <c r="H198" s="85"/>
    </row>
    <row r="199" spans="1:8">
      <c r="A199" s="86"/>
      <c r="B199" s="82"/>
      <c r="C199" s="82"/>
      <c r="D199" s="31" t="s">
        <v>80</v>
      </c>
      <c r="E199" s="82"/>
      <c r="F199" s="84"/>
      <c r="G199" s="85"/>
      <c r="H199" s="22"/>
    </row>
    <row r="200" spans="1:8">
      <c r="A200" s="10">
        <v>9</v>
      </c>
      <c r="B200" s="13"/>
      <c r="C200" s="13"/>
      <c r="D200" s="10" t="s">
        <v>243</v>
      </c>
      <c r="E200" s="13"/>
      <c r="F200" s="13"/>
      <c r="G200" s="18"/>
      <c r="H200" s="80"/>
    </row>
    <row r="201" spans="1:8">
      <c r="A201" s="86" t="s">
        <v>81</v>
      </c>
      <c r="B201" s="82" t="s">
        <v>86</v>
      </c>
      <c r="C201" s="82" t="s">
        <v>244</v>
      </c>
      <c r="D201" s="86" t="s">
        <v>245</v>
      </c>
      <c r="E201" s="82" t="s">
        <v>23</v>
      </c>
      <c r="F201" s="84">
        <f>65.55*1</f>
        <v>65.55</v>
      </c>
      <c r="G201" s="85"/>
      <c r="H201" s="85"/>
    </row>
    <row r="202" spans="1:8" ht="43.5">
      <c r="A202" s="86" t="s">
        <v>101</v>
      </c>
      <c r="B202" s="82" t="s">
        <v>86</v>
      </c>
      <c r="C202" s="82" t="s">
        <v>221</v>
      </c>
      <c r="D202" s="28" t="s">
        <v>246</v>
      </c>
      <c r="E202" s="82" t="s">
        <v>23</v>
      </c>
      <c r="F202" s="84">
        <v>25.89</v>
      </c>
      <c r="G202" s="85"/>
      <c r="H202" s="85"/>
    </row>
    <row r="203" spans="1:8" ht="43.5">
      <c r="A203" s="86" t="s">
        <v>102</v>
      </c>
      <c r="B203" s="82" t="s">
        <v>86</v>
      </c>
      <c r="C203" s="82" t="s">
        <v>236</v>
      </c>
      <c r="D203" s="28" t="s">
        <v>247</v>
      </c>
      <c r="E203" s="82" t="s">
        <v>27</v>
      </c>
      <c r="F203" s="84">
        <v>32</v>
      </c>
      <c r="G203" s="85"/>
      <c r="H203" s="85"/>
    </row>
    <row r="204" spans="1:8" ht="29.25">
      <c r="A204" s="86" t="s">
        <v>248</v>
      </c>
      <c r="B204" s="82" t="s">
        <v>86</v>
      </c>
      <c r="C204" s="82" t="s">
        <v>230</v>
      </c>
      <c r="D204" s="28" t="s">
        <v>231</v>
      </c>
      <c r="E204" s="82" t="s">
        <v>23</v>
      </c>
      <c r="F204" s="84">
        <f>F202</f>
        <v>25.89</v>
      </c>
      <c r="G204" s="85"/>
      <c r="H204" s="85"/>
    </row>
    <row r="205" spans="1:8" ht="29.25">
      <c r="A205" s="86" t="s">
        <v>249</v>
      </c>
      <c r="B205" s="82" t="s">
        <v>86</v>
      </c>
      <c r="C205" s="82" t="s">
        <v>238</v>
      </c>
      <c r="D205" s="28" t="s">
        <v>239</v>
      </c>
      <c r="E205" s="82" t="s">
        <v>27</v>
      </c>
      <c r="F205" s="84">
        <f>F203</f>
        <v>32</v>
      </c>
      <c r="G205" s="85"/>
      <c r="H205" s="85"/>
    </row>
    <row r="206" spans="1:8">
      <c r="A206" s="86"/>
      <c r="B206" s="82"/>
      <c r="C206" s="82"/>
      <c r="D206" s="32" t="s">
        <v>83</v>
      </c>
      <c r="E206" s="82"/>
      <c r="F206" s="84"/>
      <c r="G206" s="85"/>
      <c r="H206" s="22"/>
    </row>
    <row r="207" spans="1:8">
      <c r="A207" s="10">
        <v>10</v>
      </c>
      <c r="B207" s="13"/>
      <c r="C207" s="13"/>
      <c r="D207" s="10" t="s">
        <v>250</v>
      </c>
      <c r="E207" s="13"/>
      <c r="F207" s="13"/>
      <c r="G207" s="18"/>
      <c r="H207" s="80"/>
    </row>
    <row r="208" spans="1:8" ht="43.5">
      <c r="A208" s="86" t="s">
        <v>103</v>
      </c>
      <c r="B208" s="82" t="s">
        <v>86</v>
      </c>
      <c r="C208" s="82" t="s">
        <v>251</v>
      </c>
      <c r="D208" s="28" t="s">
        <v>252</v>
      </c>
      <c r="E208" s="82" t="s">
        <v>26</v>
      </c>
      <c r="F208" s="82">
        <v>1</v>
      </c>
      <c r="G208" s="85"/>
      <c r="H208" s="85"/>
    </row>
    <row r="209" spans="1:8" ht="43.5">
      <c r="A209" s="86" t="s">
        <v>253</v>
      </c>
      <c r="B209" s="82" t="s">
        <v>86</v>
      </c>
      <c r="C209" s="82" t="s">
        <v>254</v>
      </c>
      <c r="D209" s="28" t="s">
        <v>255</v>
      </c>
      <c r="E209" s="82" t="s">
        <v>26</v>
      </c>
      <c r="F209" s="82">
        <v>2</v>
      </c>
      <c r="G209" s="85"/>
      <c r="H209" s="85"/>
    </row>
    <row r="210" spans="1:8">
      <c r="A210" s="86" t="s">
        <v>256</v>
      </c>
      <c r="B210" s="82" t="s">
        <v>86</v>
      </c>
      <c r="C210" s="82" t="s">
        <v>257</v>
      </c>
      <c r="D210" s="28" t="s">
        <v>258</v>
      </c>
      <c r="E210" s="82" t="s">
        <v>26</v>
      </c>
      <c r="F210" s="82">
        <v>1</v>
      </c>
      <c r="G210" s="85"/>
      <c r="H210" s="85"/>
    </row>
    <row r="211" spans="1:8">
      <c r="A211" s="86" t="s">
        <v>259</v>
      </c>
      <c r="B211" s="82" t="s">
        <v>86</v>
      </c>
      <c r="C211" s="82" t="s">
        <v>260</v>
      </c>
      <c r="D211" s="28" t="s">
        <v>261</v>
      </c>
      <c r="E211" s="82" t="s">
        <v>26</v>
      </c>
      <c r="F211" s="82">
        <v>1</v>
      </c>
      <c r="G211" s="85"/>
      <c r="H211" s="85"/>
    </row>
    <row r="212" spans="1:8">
      <c r="A212" s="86" t="s">
        <v>262</v>
      </c>
      <c r="B212" s="82" t="s">
        <v>86</v>
      </c>
      <c r="C212" s="82" t="s">
        <v>263</v>
      </c>
      <c r="D212" s="91" t="s">
        <v>264</v>
      </c>
      <c r="E212" s="82" t="s">
        <v>23</v>
      </c>
      <c r="F212" s="84">
        <f>(1.8*2.5)</f>
        <v>4.5</v>
      </c>
      <c r="G212" s="85"/>
      <c r="H212" s="85"/>
    </row>
    <row r="213" spans="1:8">
      <c r="A213" s="86" t="s">
        <v>265</v>
      </c>
      <c r="B213" s="82" t="s">
        <v>86</v>
      </c>
      <c r="C213" s="82" t="s">
        <v>263</v>
      </c>
      <c r="D213" s="91" t="s">
        <v>266</v>
      </c>
      <c r="E213" s="82" t="s">
        <v>23</v>
      </c>
      <c r="F213" s="84">
        <f>(1*0.8*0.8)+(1*0.4*2.2)+(1*1.7*1.6)+(1*2.57*2.2)+(2*2.45*2.2)+(1*1.9*0.8)+(1*1.3*0.8)+(1*1*0.8)</f>
        <v>24.033999999999999</v>
      </c>
      <c r="G213" s="85"/>
      <c r="H213" s="85"/>
    </row>
    <row r="214" spans="1:8">
      <c r="A214" s="86" t="s">
        <v>267</v>
      </c>
      <c r="B214" s="82" t="s">
        <v>86</v>
      </c>
      <c r="C214" s="82" t="s">
        <v>268</v>
      </c>
      <c r="D214" s="91" t="s">
        <v>269</v>
      </c>
      <c r="E214" s="82" t="s">
        <v>23</v>
      </c>
      <c r="F214" s="84">
        <f>F213+F212</f>
        <v>28.533999999999999</v>
      </c>
      <c r="G214" s="85"/>
      <c r="H214" s="85"/>
    </row>
    <row r="215" spans="1:8">
      <c r="A215" s="86"/>
      <c r="B215" s="82"/>
      <c r="C215" s="54"/>
      <c r="D215" s="32" t="s">
        <v>104</v>
      </c>
      <c r="E215" s="82"/>
      <c r="F215" s="84"/>
      <c r="G215" s="85"/>
      <c r="H215" s="22"/>
    </row>
    <row r="216" spans="1:8">
      <c r="A216" s="10">
        <v>11</v>
      </c>
      <c r="B216" s="13"/>
      <c r="C216" s="13"/>
      <c r="D216" s="7" t="s">
        <v>270</v>
      </c>
      <c r="E216" s="13"/>
      <c r="F216" s="13"/>
      <c r="G216" s="18"/>
      <c r="H216" s="80"/>
    </row>
    <row r="217" spans="1:8">
      <c r="A217" s="86" t="s">
        <v>271</v>
      </c>
      <c r="B217" s="82" t="s">
        <v>86</v>
      </c>
      <c r="C217" s="54" t="s">
        <v>272</v>
      </c>
      <c r="D217" s="91" t="s">
        <v>273</v>
      </c>
      <c r="E217" s="82" t="s">
        <v>23</v>
      </c>
      <c r="F217" s="84">
        <f>F183</f>
        <v>378.77200000000005</v>
      </c>
      <c r="G217" s="85"/>
      <c r="H217" s="85"/>
    </row>
    <row r="218" spans="1:8">
      <c r="A218" s="86" t="s">
        <v>274</v>
      </c>
      <c r="B218" s="82" t="s">
        <v>86</v>
      </c>
      <c r="C218" s="54" t="s">
        <v>275</v>
      </c>
      <c r="D218" s="91" t="s">
        <v>276</v>
      </c>
      <c r="E218" s="82" t="s">
        <v>23</v>
      </c>
      <c r="F218" s="84">
        <f>(14.9*4.7)+(19.61*3.3)+(17.83*3)+(4.93*3)+(8.13*3)+79.35-F212-F213-(0.9*2.1)-(0.8*2.1*2)-(0.7*2.1)-F185-F186-F187</f>
        <v>232.28900000000004</v>
      </c>
      <c r="G218" s="85"/>
      <c r="H218" s="85"/>
    </row>
    <row r="219" spans="1:8">
      <c r="A219" s="86" t="s">
        <v>277</v>
      </c>
      <c r="B219" s="82" t="s">
        <v>86</v>
      </c>
      <c r="C219" s="54" t="s">
        <v>278</v>
      </c>
      <c r="D219" s="92" t="s">
        <v>279</v>
      </c>
      <c r="E219" s="82" t="s">
        <v>23</v>
      </c>
      <c r="F219" s="84">
        <f>F217-F218</f>
        <v>146.483</v>
      </c>
      <c r="G219" s="85"/>
      <c r="H219" s="85"/>
    </row>
    <row r="220" spans="1:8">
      <c r="A220" s="86" t="s">
        <v>280</v>
      </c>
      <c r="B220" s="82" t="s">
        <v>86</v>
      </c>
      <c r="C220" s="82" t="s">
        <v>281</v>
      </c>
      <c r="D220" s="81" t="s">
        <v>282</v>
      </c>
      <c r="E220" s="82" t="s">
        <v>23</v>
      </c>
      <c r="F220" s="84">
        <f>(0.9*2.1*2)+(0.8*2.1*4)+(0.7*2.1*2)</f>
        <v>13.44</v>
      </c>
      <c r="G220" s="85"/>
      <c r="H220" s="85"/>
    </row>
    <row r="221" spans="1:8">
      <c r="A221" s="86"/>
      <c r="B221" s="82"/>
      <c r="C221" s="82"/>
      <c r="D221" s="89" t="s">
        <v>283</v>
      </c>
      <c r="E221" s="82"/>
      <c r="F221" s="84"/>
      <c r="G221" s="85"/>
      <c r="H221" s="22"/>
    </row>
    <row r="222" spans="1:8">
      <c r="A222" s="10">
        <v>12</v>
      </c>
      <c r="B222" s="13"/>
      <c r="C222" s="13"/>
      <c r="D222" s="7" t="s">
        <v>284</v>
      </c>
      <c r="E222" s="13"/>
      <c r="F222" s="13"/>
      <c r="G222" s="18"/>
      <c r="H222" s="80"/>
    </row>
    <row r="223" spans="1:8">
      <c r="A223" s="86" t="s">
        <v>285</v>
      </c>
      <c r="B223" s="82" t="s">
        <v>86</v>
      </c>
      <c r="C223" s="82" t="s">
        <v>286</v>
      </c>
      <c r="D223" s="91" t="s">
        <v>287</v>
      </c>
      <c r="E223" s="82" t="s">
        <v>26</v>
      </c>
      <c r="F223" s="82">
        <v>1</v>
      </c>
      <c r="G223" s="85"/>
      <c r="H223" s="85"/>
    </row>
    <row r="224" spans="1:8" ht="29.25">
      <c r="A224" s="86" t="s">
        <v>288</v>
      </c>
      <c r="B224" s="82" t="s">
        <v>86</v>
      </c>
      <c r="C224" s="82" t="s">
        <v>289</v>
      </c>
      <c r="D224" s="92" t="s">
        <v>290</v>
      </c>
      <c r="E224" s="82" t="s">
        <v>26</v>
      </c>
      <c r="F224" s="82">
        <v>1</v>
      </c>
      <c r="G224" s="85"/>
      <c r="H224" s="85"/>
    </row>
    <row r="225" spans="1:8" ht="29.25">
      <c r="A225" s="86" t="s">
        <v>291</v>
      </c>
      <c r="B225" s="82" t="s">
        <v>86</v>
      </c>
      <c r="C225" s="82" t="s">
        <v>292</v>
      </c>
      <c r="D225" s="92" t="s">
        <v>293</v>
      </c>
      <c r="E225" s="82" t="s">
        <v>26</v>
      </c>
      <c r="F225" s="84">
        <v>3</v>
      </c>
      <c r="G225" s="85"/>
      <c r="H225" s="85"/>
    </row>
    <row r="226" spans="1:8" ht="29.25">
      <c r="A226" s="86" t="s">
        <v>294</v>
      </c>
      <c r="B226" s="82" t="s">
        <v>86</v>
      </c>
      <c r="C226" s="82" t="s">
        <v>295</v>
      </c>
      <c r="D226" s="92" t="s">
        <v>296</v>
      </c>
      <c r="E226" s="82" t="s">
        <v>26</v>
      </c>
      <c r="F226" s="84">
        <v>2</v>
      </c>
      <c r="G226" s="85"/>
      <c r="H226" s="85"/>
    </row>
    <row r="227" spans="1:8" ht="29.25">
      <c r="A227" s="86" t="s">
        <v>297</v>
      </c>
      <c r="B227" s="82" t="s">
        <v>86</v>
      </c>
      <c r="C227" s="82" t="s">
        <v>298</v>
      </c>
      <c r="D227" s="92" t="s">
        <v>677</v>
      </c>
      <c r="E227" s="82" t="s">
        <v>23</v>
      </c>
      <c r="F227" s="84">
        <f>(0.9*0.4*2)</f>
        <v>0.72000000000000008</v>
      </c>
      <c r="G227" s="85"/>
      <c r="H227" s="85"/>
    </row>
    <row r="228" spans="1:8">
      <c r="A228" s="86" t="s">
        <v>299</v>
      </c>
      <c r="B228" s="82" t="s">
        <v>86</v>
      </c>
      <c r="C228" s="82" t="s">
        <v>300</v>
      </c>
      <c r="D228" s="91" t="s">
        <v>301</v>
      </c>
      <c r="E228" s="82" t="s">
        <v>26</v>
      </c>
      <c r="F228" s="84">
        <v>2</v>
      </c>
      <c r="G228" s="85"/>
      <c r="H228" s="85"/>
    </row>
    <row r="229" spans="1:8">
      <c r="A229" s="86" t="s">
        <v>302</v>
      </c>
      <c r="B229" s="82" t="s">
        <v>86</v>
      </c>
      <c r="C229" s="82" t="s">
        <v>303</v>
      </c>
      <c r="D229" s="91" t="s">
        <v>304</v>
      </c>
      <c r="E229" s="82" t="s">
        <v>26</v>
      </c>
      <c r="F229" s="84">
        <v>2</v>
      </c>
      <c r="G229" s="85"/>
      <c r="H229" s="85"/>
    </row>
    <row r="230" spans="1:8">
      <c r="A230" s="86" t="s">
        <v>305</v>
      </c>
      <c r="B230" s="82" t="s">
        <v>86</v>
      </c>
      <c r="C230" s="82" t="s">
        <v>306</v>
      </c>
      <c r="D230" s="91" t="s">
        <v>307</v>
      </c>
      <c r="E230" s="82" t="s">
        <v>23</v>
      </c>
      <c r="F230" s="84">
        <f>(1*1)+(1*1)</f>
        <v>2</v>
      </c>
      <c r="G230" s="85"/>
      <c r="H230" s="85"/>
    </row>
    <row r="231" spans="1:8">
      <c r="A231" s="86" t="s">
        <v>308</v>
      </c>
      <c r="B231" s="82" t="s">
        <v>86</v>
      </c>
      <c r="C231" s="82" t="s">
        <v>309</v>
      </c>
      <c r="D231" s="91" t="s">
        <v>310</v>
      </c>
      <c r="E231" s="82" t="s">
        <v>26</v>
      </c>
      <c r="F231" s="84">
        <v>2</v>
      </c>
      <c r="G231" s="85"/>
      <c r="H231" s="85"/>
    </row>
    <row r="232" spans="1:8" ht="30" customHeight="1">
      <c r="A232" s="86" t="s">
        <v>311</v>
      </c>
      <c r="B232" s="82" t="s">
        <v>86</v>
      </c>
      <c r="C232" s="82" t="s">
        <v>312</v>
      </c>
      <c r="D232" s="92" t="s">
        <v>313</v>
      </c>
      <c r="E232" s="82" t="s">
        <v>26</v>
      </c>
      <c r="F232" s="84">
        <v>1</v>
      </c>
      <c r="G232" s="85"/>
      <c r="H232" s="85"/>
    </row>
    <row r="233" spans="1:8">
      <c r="A233" s="86" t="s">
        <v>314</v>
      </c>
      <c r="B233" s="82" t="s">
        <v>86</v>
      </c>
      <c r="C233" s="82" t="s">
        <v>315</v>
      </c>
      <c r="D233" s="91" t="s">
        <v>316</v>
      </c>
      <c r="E233" s="82" t="s">
        <v>26</v>
      </c>
      <c r="F233" s="84">
        <v>1</v>
      </c>
      <c r="G233" s="85"/>
      <c r="H233" s="85"/>
    </row>
    <row r="234" spans="1:8">
      <c r="A234" s="86" t="s">
        <v>317</v>
      </c>
      <c r="B234" s="82" t="s">
        <v>86</v>
      </c>
      <c r="C234" s="82" t="s">
        <v>318</v>
      </c>
      <c r="D234" s="91" t="s">
        <v>319</v>
      </c>
      <c r="E234" s="82" t="s">
        <v>26</v>
      </c>
      <c r="F234" s="84">
        <v>1</v>
      </c>
      <c r="G234" s="85"/>
      <c r="H234" s="85"/>
    </row>
    <row r="235" spans="1:8">
      <c r="A235" s="86" t="s">
        <v>320</v>
      </c>
      <c r="B235" s="82" t="s">
        <v>86</v>
      </c>
      <c r="C235" s="82" t="s">
        <v>321</v>
      </c>
      <c r="D235" s="81" t="s">
        <v>322</v>
      </c>
      <c r="E235" s="82" t="s">
        <v>27</v>
      </c>
      <c r="F235" s="84">
        <f>(0.9*1)+(0.8*3)</f>
        <v>3.3000000000000003</v>
      </c>
      <c r="G235" s="85"/>
      <c r="H235" s="85"/>
    </row>
    <row r="236" spans="1:8" ht="29.25">
      <c r="A236" s="86" t="s">
        <v>323</v>
      </c>
      <c r="B236" s="82" t="s">
        <v>86</v>
      </c>
      <c r="C236" s="54" t="s">
        <v>324</v>
      </c>
      <c r="D236" s="92" t="s">
        <v>325</v>
      </c>
      <c r="E236" s="82" t="s">
        <v>26</v>
      </c>
      <c r="F236" s="84">
        <v>1</v>
      </c>
      <c r="G236" s="85"/>
      <c r="H236" s="85"/>
    </row>
    <row r="237" spans="1:8">
      <c r="A237" s="86" t="s">
        <v>326</v>
      </c>
      <c r="B237" s="82" t="s">
        <v>86</v>
      </c>
      <c r="C237" s="54" t="s">
        <v>327</v>
      </c>
      <c r="D237" s="91" t="s">
        <v>328</v>
      </c>
      <c r="E237" s="82" t="s">
        <v>26</v>
      </c>
      <c r="F237" s="84">
        <v>1</v>
      </c>
      <c r="G237" s="85"/>
      <c r="H237" s="85"/>
    </row>
    <row r="238" spans="1:8">
      <c r="A238" s="86" t="s">
        <v>329</v>
      </c>
      <c r="B238" s="82" t="s">
        <v>86</v>
      </c>
      <c r="C238" s="82" t="s">
        <v>330</v>
      </c>
      <c r="D238" s="81" t="s">
        <v>331</v>
      </c>
      <c r="E238" s="82" t="s">
        <v>23</v>
      </c>
      <c r="F238" s="84">
        <f>(2.31+1.8)*0.6</f>
        <v>2.4660000000000002</v>
      </c>
      <c r="G238" s="85"/>
      <c r="H238" s="85"/>
    </row>
    <row r="239" spans="1:8">
      <c r="A239" s="86" t="s">
        <v>332</v>
      </c>
      <c r="B239" s="82" t="s">
        <v>86</v>
      </c>
      <c r="C239" s="82" t="s">
        <v>330</v>
      </c>
      <c r="D239" s="81" t="s">
        <v>333</v>
      </c>
      <c r="E239" s="82" t="s">
        <v>23</v>
      </c>
      <c r="F239" s="84">
        <f>(0.9*0.6)</f>
        <v>0.54</v>
      </c>
      <c r="G239" s="85"/>
      <c r="H239" s="85"/>
    </row>
    <row r="240" spans="1:8" ht="29.25">
      <c r="A240" s="86" t="s">
        <v>334</v>
      </c>
      <c r="B240" s="82" t="s">
        <v>86</v>
      </c>
      <c r="C240" s="82" t="s">
        <v>335</v>
      </c>
      <c r="D240" s="92" t="s">
        <v>336</v>
      </c>
      <c r="E240" s="82" t="s">
        <v>26</v>
      </c>
      <c r="F240" s="84">
        <v>1</v>
      </c>
      <c r="G240" s="85"/>
      <c r="H240" s="85"/>
    </row>
    <row r="241" spans="1:8">
      <c r="A241" s="86" t="s">
        <v>337</v>
      </c>
      <c r="B241" s="82" t="s">
        <v>86</v>
      </c>
      <c r="C241" s="82" t="s">
        <v>338</v>
      </c>
      <c r="D241" s="91" t="s">
        <v>339</v>
      </c>
      <c r="E241" s="82" t="s">
        <v>26</v>
      </c>
      <c r="F241" s="84">
        <v>1</v>
      </c>
      <c r="G241" s="85"/>
      <c r="H241" s="85"/>
    </row>
    <row r="242" spans="1:8">
      <c r="A242" s="86" t="s">
        <v>340</v>
      </c>
      <c r="B242" s="82" t="s">
        <v>86</v>
      </c>
      <c r="C242" s="82" t="s">
        <v>341</v>
      </c>
      <c r="D242" s="91" t="s">
        <v>342</v>
      </c>
      <c r="E242" s="82" t="s">
        <v>26</v>
      </c>
      <c r="F242" s="84">
        <v>1</v>
      </c>
      <c r="G242" s="85"/>
      <c r="H242" s="85"/>
    </row>
    <row r="243" spans="1:8">
      <c r="A243" s="86" t="s">
        <v>343</v>
      </c>
      <c r="B243" s="82" t="s">
        <v>86</v>
      </c>
      <c r="C243" s="82" t="s">
        <v>344</v>
      </c>
      <c r="D243" s="91" t="s">
        <v>345</v>
      </c>
      <c r="E243" s="82" t="s">
        <v>26</v>
      </c>
      <c r="F243" s="84">
        <v>1</v>
      </c>
      <c r="G243" s="85"/>
      <c r="H243" s="85"/>
    </row>
    <row r="244" spans="1:8" ht="29.25">
      <c r="A244" s="86" t="s">
        <v>346</v>
      </c>
      <c r="B244" s="82" t="s">
        <v>86</v>
      </c>
      <c r="C244" s="82" t="s">
        <v>347</v>
      </c>
      <c r="D244" s="92" t="s">
        <v>348</v>
      </c>
      <c r="E244" s="82" t="s">
        <v>26</v>
      </c>
      <c r="F244" s="84">
        <v>2</v>
      </c>
      <c r="G244" s="85"/>
      <c r="H244" s="85"/>
    </row>
    <row r="245" spans="1:8">
      <c r="A245" s="86" t="s">
        <v>349</v>
      </c>
      <c r="B245" s="82" t="s">
        <v>86</v>
      </c>
      <c r="C245" s="82" t="s">
        <v>350</v>
      </c>
      <c r="D245" s="91" t="s">
        <v>351</v>
      </c>
      <c r="E245" s="82" t="s">
        <v>26</v>
      </c>
      <c r="F245" s="84">
        <v>1</v>
      </c>
      <c r="G245" s="85"/>
      <c r="H245" s="85"/>
    </row>
    <row r="246" spans="1:8">
      <c r="A246" s="86" t="s">
        <v>352</v>
      </c>
      <c r="B246" s="82" t="s">
        <v>86</v>
      </c>
      <c r="C246" s="82" t="s">
        <v>353</v>
      </c>
      <c r="D246" s="91" t="s">
        <v>354</v>
      </c>
      <c r="E246" s="82" t="s">
        <v>26</v>
      </c>
      <c r="F246" s="84">
        <v>1</v>
      </c>
      <c r="G246" s="85"/>
      <c r="H246" s="85"/>
    </row>
    <row r="247" spans="1:8">
      <c r="A247" s="86" t="s">
        <v>355</v>
      </c>
      <c r="B247" s="82" t="s">
        <v>86</v>
      </c>
      <c r="C247" s="82" t="s">
        <v>356</v>
      </c>
      <c r="D247" s="91" t="s">
        <v>357</v>
      </c>
      <c r="E247" s="82" t="s">
        <v>26</v>
      </c>
      <c r="F247" s="84">
        <v>1</v>
      </c>
      <c r="G247" s="85"/>
      <c r="H247" s="85"/>
    </row>
    <row r="248" spans="1:8">
      <c r="A248" s="86" t="s">
        <v>358</v>
      </c>
      <c r="B248" s="82" t="s">
        <v>86</v>
      </c>
      <c r="C248" s="82" t="s">
        <v>359</v>
      </c>
      <c r="D248" s="91" t="s">
        <v>360</v>
      </c>
      <c r="E248" s="82" t="s">
        <v>26</v>
      </c>
      <c r="F248" s="84">
        <v>1</v>
      </c>
      <c r="G248" s="85"/>
      <c r="H248" s="85"/>
    </row>
    <row r="249" spans="1:8">
      <c r="A249" s="86" t="s">
        <v>361</v>
      </c>
      <c r="B249" s="82" t="s">
        <v>86</v>
      </c>
      <c r="C249" s="82" t="s">
        <v>362</v>
      </c>
      <c r="D249" s="91" t="s">
        <v>363</v>
      </c>
      <c r="E249" s="82" t="s">
        <v>26</v>
      </c>
      <c r="F249" s="84">
        <v>1</v>
      </c>
      <c r="G249" s="85"/>
      <c r="H249" s="85"/>
    </row>
    <row r="250" spans="1:8">
      <c r="A250" s="86"/>
      <c r="B250" s="82"/>
      <c r="C250" s="82"/>
      <c r="D250" s="89" t="s">
        <v>364</v>
      </c>
      <c r="E250" s="82"/>
      <c r="F250" s="82"/>
      <c r="G250" s="85"/>
      <c r="H250" s="22"/>
    </row>
    <row r="251" spans="1:8">
      <c r="A251" s="10">
        <v>13</v>
      </c>
      <c r="B251" s="13"/>
      <c r="C251" s="13"/>
      <c r="D251" s="7" t="s">
        <v>1057</v>
      </c>
      <c r="E251" s="13"/>
      <c r="F251" s="13"/>
      <c r="G251" s="18"/>
      <c r="H251" s="80"/>
    </row>
    <row r="252" spans="1:8" ht="29.25">
      <c r="A252" s="86" t="s">
        <v>365</v>
      </c>
      <c r="B252" s="82" t="s">
        <v>86</v>
      </c>
      <c r="C252" s="54" t="s">
        <v>366</v>
      </c>
      <c r="D252" s="92" t="s">
        <v>367</v>
      </c>
      <c r="E252" s="82" t="s">
        <v>26</v>
      </c>
      <c r="F252" s="84">
        <v>8</v>
      </c>
      <c r="G252" s="85"/>
      <c r="H252" s="85"/>
    </row>
    <row r="253" spans="1:8" ht="29.25">
      <c r="A253" s="86" t="s">
        <v>368</v>
      </c>
      <c r="B253" s="82" t="s">
        <v>86</v>
      </c>
      <c r="C253" s="54" t="s">
        <v>369</v>
      </c>
      <c r="D253" s="92" t="s">
        <v>679</v>
      </c>
      <c r="E253" s="82" t="s">
        <v>26</v>
      </c>
      <c r="F253" s="84">
        <v>4</v>
      </c>
      <c r="G253" s="85"/>
      <c r="H253" s="85"/>
    </row>
    <row r="254" spans="1:8">
      <c r="A254" s="86" t="s">
        <v>370</v>
      </c>
      <c r="B254" s="82" t="s">
        <v>86</v>
      </c>
      <c r="C254" s="54" t="s">
        <v>371</v>
      </c>
      <c r="D254" s="92" t="s">
        <v>372</v>
      </c>
      <c r="E254" s="82" t="s">
        <v>26</v>
      </c>
      <c r="F254" s="84">
        <f>(F252*2)+F256</f>
        <v>20</v>
      </c>
      <c r="G254" s="85"/>
      <c r="H254" s="85"/>
    </row>
    <row r="255" spans="1:8">
      <c r="A255" s="86" t="s">
        <v>373</v>
      </c>
      <c r="B255" s="82" t="s">
        <v>86</v>
      </c>
      <c r="C255" s="54" t="s">
        <v>374</v>
      </c>
      <c r="D255" s="92" t="s">
        <v>375</v>
      </c>
      <c r="E255" s="82" t="s">
        <v>26</v>
      </c>
      <c r="F255" s="84">
        <f>F253*2</f>
        <v>8</v>
      </c>
      <c r="G255" s="85"/>
      <c r="H255" s="85"/>
    </row>
    <row r="256" spans="1:8">
      <c r="A256" s="86" t="s">
        <v>376</v>
      </c>
      <c r="B256" s="82" t="s">
        <v>86</v>
      </c>
      <c r="C256" s="54" t="s">
        <v>377</v>
      </c>
      <c r="D256" s="92" t="s">
        <v>378</v>
      </c>
      <c r="E256" s="82" t="s">
        <v>26</v>
      </c>
      <c r="F256" s="84">
        <v>4</v>
      </c>
      <c r="G256" s="85"/>
      <c r="H256" s="85"/>
    </row>
    <row r="257" spans="1:8" ht="29.25">
      <c r="A257" s="86" t="s">
        <v>379</v>
      </c>
      <c r="B257" s="82" t="s">
        <v>86</v>
      </c>
      <c r="C257" s="54" t="s">
        <v>380</v>
      </c>
      <c r="D257" s="92" t="s">
        <v>381</v>
      </c>
      <c r="E257" s="82" t="s">
        <v>26</v>
      </c>
      <c r="F257" s="84">
        <v>1</v>
      </c>
      <c r="G257" s="85"/>
      <c r="H257" s="85"/>
    </row>
    <row r="258" spans="1:8">
      <c r="A258" s="86" t="s">
        <v>382</v>
      </c>
      <c r="B258" s="82" t="s">
        <v>86</v>
      </c>
      <c r="C258" s="54" t="s">
        <v>383</v>
      </c>
      <c r="D258" s="92" t="s">
        <v>384</v>
      </c>
      <c r="E258" s="82" t="s">
        <v>26</v>
      </c>
      <c r="F258" s="84">
        <v>1</v>
      </c>
      <c r="G258" s="85"/>
      <c r="H258" s="85"/>
    </row>
    <row r="259" spans="1:8">
      <c r="A259" s="86" t="s">
        <v>385</v>
      </c>
      <c r="B259" s="82" t="s">
        <v>86</v>
      </c>
      <c r="C259" s="54" t="s">
        <v>386</v>
      </c>
      <c r="D259" s="92" t="s">
        <v>387</v>
      </c>
      <c r="E259" s="82" t="s">
        <v>26</v>
      </c>
      <c r="F259" s="84">
        <v>10</v>
      </c>
      <c r="G259" s="85"/>
      <c r="H259" s="85"/>
    </row>
    <row r="260" spans="1:8">
      <c r="A260" s="86" t="s">
        <v>388</v>
      </c>
      <c r="B260" s="82" t="s">
        <v>86</v>
      </c>
      <c r="C260" s="54" t="s">
        <v>389</v>
      </c>
      <c r="D260" s="92" t="s">
        <v>390</v>
      </c>
      <c r="E260" s="82" t="s">
        <v>27</v>
      </c>
      <c r="F260" s="84">
        <v>137.88999999999999</v>
      </c>
      <c r="G260" s="85"/>
      <c r="H260" s="85"/>
    </row>
    <row r="261" spans="1:8">
      <c r="A261" s="86" t="s">
        <v>391</v>
      </c>
      <c r="B261" s="82" t="s">
        <v>86</v>
      </c>
      <c r="C261" s="54" t="s">
        <v>392</v>
      </c>
      <c r="D261" s="92" t="s">
        <v>393</v>
      </c>
      <c r="E261" s="82" t="s">
        <v>27</v>
      </c>
      <c r="F261" s="84">
        <v>18</v>
      </c>
      <c r="G261" s="85"/>
      <c r="H261" s="85"/>
    </row>
    <row r="262" spans="1:8">
      <c r="A262" s="86" t="s">
        <v>394</v>
      </c>
      <c r="B262" s="82" t="s">
        <v>86</v>
      </c>
      <c r="C262" s="54" t="s">
        <v>115</v>
      </c>
      <c r="D262" s="92" t="s">
        <v>116</v>
      </c>
      <c r="E262" s="82" t="s">
        <v>27</v>
      </c>
      <c r="F262" s="84">
        <v>94.81</v>
      </c>
      <c r="G262" s="85"/>
      <c r="H262" s="85"/>
    </row>
    <row r="263" spans="1:8">
      <c r="A263" s="86" t="s">
        <v>395</v>
      </c>
      <c r="B263" s="82" t="s">
        <v>86</v>
      </c>
      <c r="C263" s="54" t="s">
        <v>396</v>
      </c>
      <c r="D263" s="92" t="s">
        <v>397</v>
      </c>
      <c r="E263" s="82" t="s">
        <v>27</v>
      </c>
      <c r="F263" s="84">
        <v>915.22</v>
      </c>
      <c r="G263" s="85"/>
      <c r="H263" s="85"/>
    </row>
    <row r="264" spans="1:8">
      <c r="A264" s="86" t="s">
        <v>398</v>
      </c>
      <c r="B264" s="82" t="s">
        <v>86</v>
      </c>
      <c r="C264" s="54" t="s">
        <v>399</v>
      </c>
      <c r="D264" s="92" t="s">
        <v>400</v>
      </c>
      <c r="E264" s="82" t="s">
        <v>27</v>
      </c>
      <c r="F264" s="84">
        <v>14.41</v>
      </c>
      <c r="G264" s="85"/>
      <c r="H264" s="85"/>
    </row>
    <row r="265" spans="1:8" ht="29.25">
      <c r="A265" s="86" t="s">
        <v>401</v>
      </c>
      <c r="B265" s="82" t="s">
        <v>86</v>
      </c>
      <c r="C265" s="54" t="s">
        <v>402</v>
      </c>
      <c r="D265" s="92" t="s">
        <v>403</v>
      </c>
      <c r="E265" s="82" t="s">
        <v>27</v>
      </c>
      <c r="F265" s="84">
        <v>10.37</v>
      </c>
      <c r="G265" s="85"/>
      <c r="H265" s="85"/>
    </row>
    <row r="266" spans="1:8" ht="29.25">
      <c r="A266" s="86" t="s">
        <v>404</v>
      </c>
      <c r="B266" s="82" t="s">
        <v>86</v>
      </c>
      <c r="C266" s="54" t="s">
        <v>405</v>
      </c>
      <c r="D266" s="92" t="s">
        <v>406</v>
      </c>
      <c r="E266" s="82" t="s">
        <v>27</v>
      </c>
      <c r="F266" s="84">
        <v>31.05</v>
      </c>
      <c r="G266" s="85"/>
      <c r="H266" s="85"/>
    </row>
    <row r="267" spans="1:8">
      <c r="A267" s="86" t="s">
        <v>407</v>
      </c>
      <c r="B267" s="82" t="s">
        <v>86</v>
      </c>
      <c r="C267" s="54" t="s">
        <v>408</v>
      </c>
      <c r="D267" s="92" t="s">
        <v>409</v>
      </c>
      <c r="E267" s="82" t="s">
        <v>26</v>
      </c>
      <c r="F267" s="84">
        <f>F269+F270+F271+F272+F273+F256</f>
        <v>33</v>
      </c>
      <c r="G267" s="85"/>
      <c r="H267" s="85"/>
    </row>
    <row r="268" spans="1:8">
      <c r="A268" s="86" t="s">
        <v>410</v>
      </c>
      <c r="B268" s="82" t="s">
        <v>86</v>
      </c>
      <c r="C268" s="54" t="s">
        <v>411</v>
      </c>
      <c r="D268" s="92" t="s">
        <v>412</v>
      </c>
      <c r="E268" s="82" t="s">
        <v>26</v>
      </c>
      <c r="F268" s="84">
        <v>8</v>
      </c>
      <c r="G268" s="85"/>
      <c r="H268" s="85"/>
    </row>
    <row r="269" spans="1:8">
      <c r="A269" s="86" t="s">
        <v>413</v>
      </c>
      <c r="B269" s="82" t="s">
        <v>86</v>
      </c>
      <c r="C269" s="54" t="s">
        <v>414</v>
      </c>
      <c r="D269" s="92" t="s">
        <v>415</v>
      </c>
      <c r="E269" s="82" t="s">
        <v>416</v>
      </c>
      <c r="F269" s="84">
        <v>1</v>
      </c>
      <c r="G269" s="85"/>
      <c r="H269" s="85"/>
    </row>
    <row r="270" spans="1:8">
      <c r="A270" s="86" t="s">
        <v>417</v>
      </c>
      <c r="B270" s="82" t="s">
        <v>86</v>
      </c>
      <c r="C270" s="54" t="s">
        <v>418</v>
      </c>
      <c r="D270" s="92" t="s">
        <v>419</v>
      </c>
      <c r="E270" s="82" t="s">
        <v>416</v>
      </c>
      <c r="F270" s="84">
        <v>2</v>
      </c>
      <c r="G270" s="85"/>
      <c r="H270" s="85"/>
    </row>
    <row r="271" spans="1:8">
      <c r="A271" s="86" t="s">
        <v>420</v>
      </c>
      <c r="B271" s="82" t="s">
        <v>86</v>
      </c>
      <c r="C271" s="54" t="s">
        <v>421</v>
      </c>
      <c r="D271" s="92" t="s">
        <v>422</v>
      </c>
      <c r="E271" s="82" t="s">
        <v>416</v>
      </c>
      <c r="F271" s="84">
        <v>5</v>
      </c>
      <c r="G271" s="85"/>
      <c r="H271" s="85"/>
    </row>
    <row r="272" spans="1:8">
      <c r="A272" s="86" t="s">
        <v>423</v>
      </c>
      <c r="B272" s="82" t="s">
        <v>86</v>
      </c>
      <c r="C272" s="54" t="s">
        <v>424</v>
      </c>
      <c r="D272" s="92" t="s">
        <v>425</v>
      </c>
      <c r="E272" s="82" t="s">
        <v>416</v>
      </c>
      <c r="F272" s="84">
        <v>19</v>
      </c>
      <c r="G272" s="85"/>
      <c r="H272" s="85"/>
    </row>
    <row r="273" spans="1:8">
      <c r="A273" s="86" t="s">
        <v>426</v>
      </c>
      <c r="B273" s="82" t="s">
        <v>86</v>
      </c>
      <c r="C273" s="54" t="s">
        <v>427</v>
      </c>
      <c r="D273" s="92" t="s">
        <v>428</v>
      </c>
      <c r="E273" s="82" t="s">
        <v>416</v>
      </c>
      <c r="F273" s="84">
        <v>2</v>
      </c>
      <c r="G273" s="85"/>
      <c r="H273" s="85"/>
    </row>
    <row r="274" spans="1:8">
      <c r="A274" s="86" t="s">
        <v>429</v>
      </c>
      <c r="B274" s="82" t="s">
        <v>86</v>
      </c>
      <c r="C274" s="54" t="s">
        <v>430</v>
      </c>
      <c r="D274" s="92" t="s">
        <v>431</v>
      </c>
      <c r="E274" s="82" t="s">
        <v>148</v>
      </c>
      <c r="F274" s="84">
        <f>(0.403*3)</f>
        <v>1.2090000000000001</v>
      </c>
      <c r="G274" s="85"/>
      <c r="H274" s="85"/>
    </row>
    <row r="275" spans="1:8">
      <c r="A275" s="86" t="s">
        <v>432</v>
      </c>
      <c r="B275" s="82" t="s">
        <v>86</v>
      </c>
      <c r="C275" s="54" t="s">
        <v>433</v>
      </c>
      <c r="D275" s="92" t="s">
        <v>434</v>
      </c>
      <c r="E275" s="82" t="s">
        <v>27</v>
      </c>
      <c r="F275" s="84">
        <f>(4+4+15)</f>
        <v>23</v>
      </c>
      <c r="G275" s="85"/>
      <c r="H275" s="85"/>
    </row>
    <row r="276" spans="1:8">
      <c r="A276" s="86"/>
      <c r="B276" s="82"/>
      <c r="C276" s="54"/>
      <c r="D276" s="89" t="s">
        <v>435</v>
      </c>
      <c r="E276" s="82"/>
      <c r="F276" s="82"/>
      <c r="G276" s="85"/>
      <c r="H276" s="22"/>
    </row>
    <row r="277" spans="1:8">
      <c r="A277" s="10">
        <v>14</v>
      </c>
      <c r="B277" s="13"/>
      <c r="C277" s="13"/>
      <c r="D277" s="7" t="s">
        <v>1058</v>
      </c>
      <c r="E277" s="13"/>
      <c r="F277" s="13"/>
      <c r="G277" s="18"/>
      <c r="H277" s="80"/>
    </row>
    <row r="278" spans="1:8">
      <c r="A278" s="86" t="s">
        <v>436</v>
      </c>
      <c r="B278" s="82" t="s">
        <v>86</v>
      </c>
      <c r="C278" s="82" t="s">
        <v>437</v>
      </c>
      <c r="D278" s="91" t="s">
        <v>438</v>
      </c>
      <c r="E278" s="82" t="s">
        <v>26</v>
      </c>
      <c r="F278" s="82">
        <v>1</v>
      </c>
      <c r="G278" s="85"/>
      <c r="H278" s="85"/>
    </row>
    <row r="279" spans="1:8">
      <c r="A279" s="86" t="s">
        <v>439</v>
      </c>
      <c r="B279" s="82" t="s">
        <v>86</v>
      </c>
      <c r="C279" s="82" t="s">
        <v>440</v>
      </c>
      <c r="D279" s="91" t="s">
        <v>441</v>
      </c>
      <c r="E279" s="82" t="s">
        <v>27</v>
      </c>
      <c r="F279" s="84">
        <f>(15+10.2+2+8)</f>
        <v>35.200000000000003</v>
      </c>
      <c r="G279" s="85"/>
      <c r="H279" s="85"/>
    </row>
    <row r="280" spans="1:8">
      <c r="A280" s="86" t="s">
        <v>442</v>
      </c>
      <c r="B280" s="82" t="s">
        <v>86</v>
      </c>
      <c r="C280" s="82" t="s">
        <v>443</v>
      </c>
      <c r="D280" s="91" t="s">
        <v>444</v>
      </c>
      <c r="E280" s="82" t="s">
        <v>27</v>
      </c>
      <c r="F280" s="84">
        <f>(2.2+2.8)</f>
        <v>5</v>
      </c>
      <c r="G280" s="85"/>
      <c r="H280" s="85"/>
    </row>
    <row r="281" spans="1:8" ht="29.25">
      <c r="A281" s="86" t="s">
        <v>445</v>
      </c>
      <c r="B281" s="82" t="s">
        <v>86</v>
      </c>
      <c r="C281" s="82" t="s">
        <v>446</v>
      </c>
      <c r="D281" s="92" t="s">
        <v>678</v>
      </c>
      <c r="E281" s="82" t="s">
        <v>27</v>
      </c>
      <c r="F281" s="84">
        <f>(1+2.5+1+2.5+1+1.5+1+2)</f>
        <v>12.5</v>
      </c>
      <c r="G281" s="85"/>
      <c r="H281" s="85"/>
    </row>
    <row r="282" spans="1:8" ht="29.25">
      <c r="A282" s="86" t="s">
        <v>447</v>
      </c>
      <c r="B282" s="82" t="s">
        <v>86</v>
      </c>
      <c r="C282" s="82" t="s">
        <v>448</v>
      </c>
      <c r="D282" s="92" t="s">
        <v>449</v>
      </c>
      <c r="E282" s="82" t="s">
        <v>27</v>
      </c>
      <c r="F282" s="84">
        <f>(4.5+2+5+7+45)</f>
        <v>63.5</v>
      </c>
      <c r="G282" s="85"/>
      <c r="H282" s="85"/>
    </row>
    <row r="283" spans="1:8">
      <c r="A283" s="86" t="s">
        <v>450</v>
      </c>
      <c r="B283" s="82" t="s">
        <v>86</v>
      </c>
      <c r="C283" s="82" t="s">
        <v>451</v>
      </c>
      <c r="D283" s="91" t="s">
        <v>452</v>
      </c>
      <c r="E283" s="82" t="s">
        <v>26</v>
      </c>
      <c r="F283" s="84">
        <v>1</v>
      </c>
      <c r="G283" s="85"/>
      <c r="H283" s="85"/>
    </row>
    <row r="284" spans="1:8">
      <c r="A284" s="86" t="s">
        <v>453</v>
      </c>
      <c r="B284" s="82" t="s">
        <v>86</v>
      </c>
      <c r="C284" s="82" t="s">
        <v>454</v>
      </c>
      <c r="D284" s="91" t="s">
        <v>455</v>
      </c>
      <c r="E284" s="82" t="s">
        <v>26</v>
      </c>
      <c r="F284" s="84">
        <v>3</v>
      </c>
      <c r="G284" s="85"/>
      <c r="H284" s="85"/>
    </row>
    <row r="285" spans="1:8">
      <c r="A285" s="86" t="s">
        <v>456</v>
      </c>
      <c r="B285" s="82" t="s">
        <v>86</v>
      </c>
      <c r="C285" s="82" t="s">
        <v>457</v>
      </c>
      <c r="D285" s="91" t="s">
        <v>458</v>
      </c>
      <c r="E285" s="82" t="s">
        <v>26</v>
      </c>
      <c r="F285" s="84">
        <v>2</v>
      </c>
      <c r="G285" s="85"/>
      <c r="H285" s="85"/>
    </row>
    <row r="286" spans="1:8">
      <c r="A286" s="86" t="s">
        <v>459</v>
      </c>
      <c r="B286" s="82" t="s">
        <v>86</v>
      </c>
      <c r="C286" s="82" t="s">
        <v>460</v>
      </c>
      <c r="D286" s="91" t="s">
        <v>461</v>
      </c>
      <c r="E286" s="82" t="s">
        <v>26</v>
      </c>
      <c r="F286" s="84">
        <v>1</v>
      </c>
      <c r="G286" s="85"/>
      <c r="H286" s="85"/>
    </row>
    <row r="287" spans="1:8">
      <c r="A287" s="86" t="s">
        <v>462</v>
      </c>
      <c r="B287" s="82" t="s">
        <v>86</v>
      </c>
      <c r="C287" s="82" t="s">
        <v>463</v>
      </c>
      <c r="D287" s="91" t="s">
        <v>464</v>
      </c>
      <c r="E287" s="82" t="s">
        <v>26</v>
      </c>
      <c r="F287" s="84">
        <v>1</v>
      </c>
      <c r="G287" s="85"/>
      <c r="H287" s="85"/>
    </row>
    <row r="288" spans="1:8" ht="29.25">
      <c r="A288" s="86" t="s">
        <v>465</v>
      </c>
      <c r="B288" s="82" t="s">
        <v>86</v>
      </c>
      <c r="C288" s="82" t="s">
        <v>466</v>
      </c>
      <c r="D288" s="92" t="s">
        <v>467</v>
      </c>
      <c r="E288" s="82" t="s">
        <v>26</v>
      </c>
      <c r="F288" s="84">
        <v>3</v>
      </c>
      <c r="G288" s="85"/>
      <c r="H288" s="85"/>
    </row>
    <row r="289" spans="1:8" ht="29.25">
      <c r="A289" s="86" t="s">
        <v>468</v>
      </c>
      <c r="B289" s="82" t="s">
        <v>86</v>
      </c>
      <c r="C289" s="82" t="s">
        <v>469</v>
      </c>
      <c r="D289" s="92" t="s">
        <v>470</v>
      </c>
      <c r="E289" s="82" t="s">
        <v>26</v>
      </c>
      <c r="F289" s="84">
        <v>1</v>
      </c>
      <c r="G289" s="85"/>
      <c r="H289" s="85"/>
    </row>
    <row r="290" spans="1:8" ht="29.25">
      <c r="A290" s="86" t="s">
        <v>471</v>
      </c>
      <c r="B290" s="82" t="s">
        <v>86</v>
      </c>
      <c r="C290" s="82" t="s">
        <v>472</v>
      </c>
      <c r="D290" s="92" t="s">
        <v>473</v>
      </c>
      <c r="E290" s="82" t="s">
        <v>26</v>
      </c>
      <c r="F290" s="84">
        <v>1</v>
      </c>
      <c r="G290" s="85"/>
      <c r="H290" s="85"/>
    </row>
    <row r="291" spans="1:8">
      <c r="A291" s="86" t="s">
        <v>474</v>
      </c>
      <c r="B291" s="82" t="s">
        <v>86</v>
      </c>
      <c r="C291" s="82" t="s">
        <v>475</v>
      </c>
      <c r="D291" s="91" t="s">
        <v>476</v>
      </c>
      <c r="E291" s="82" t="s">
        <v>26</v>
      </c>
      <c r="F291" s="84">
        <v>1</v>
      </c>
      <c r="G291" s="85"/>
      <c r="H291" s="85"/>
    </row>
    <row r="292" spans="1:8">
      <c r="A292" s="86" t="s">
        <v>477</v>
      </c>
      <c r="B292" s="82" t="s">
        <v>86</v>
      </c>
      <c r="C292" s="82" t="s">
        <v>478</v>
      </c>
      <c r="D292" s="91" t="s">
        <v>479</v>
      </c>
      <c r="E292" s="82" t="s">
        <v>26</v>
      </c>
      <c r="F292" s="84">
        <v>1</v>
      </c>
      <c r="G292" s="85"/>
      <c r="H292" s="85"/>
    </row>
    <row r="293" spans="1:8">
      <c r="A293" s="86" t="s">
        <v>480</v>
      </c>
      <c r="B293" s="82" t="s">
        <v>86</v>
      </c>
      <c r="C293" s="82" t="s">
        <v>481</v>
      </c>
      <c r="D293" s="91" t="s">
        <v>482</v>
      </c>
      <c r="E293" s="82" t="s">
        <v>26</v>
      </c>
      <c r="F293" s="84">
        <v>1</v>
      </c>
      <c r="G293" s="85"/>
      <c r="H293" s="85"/>
    </row>
    <row r="294" spans="1:8">
      <c r="A294" s="86"/>
      <c r="B294" s="82"/>
      <c r="C294" s="82"/>
      <c r="D294" s="89" t="s">
        <v>483</v>
      </c>
      <c r="E294" s="82"/>
      <c r="F294" s="84"/>
      <c r="G294" s="85"/>
      <c r="H294" s="22"/>
    </row>
    <row r="295" spans="1:8">
      <c r="A295" s="10">
        <v>15</v>
      </c>
      <c r="B295" s="13"/>
      <c r="C295" s="13"/>
      <c r="D295" s="7" t="s">
        <v>484</v>
      </c>
      <c r="E295" s="13"/>
      <c r="F295" s="13"/>
      <c r="G295" s="18"/>
      <c r="H295" s="80"/>
    </row>
    <row r="296" spans="1:8">
      <c r="A296" s="93" t="s">
        <v>485</v>
      </c>
      <c r="B296" s="82" t="s">
        <v>86</v>
      </c>
      <c r="C296" s="82" t="s">
        <v>486</v>
      </c>
      <c r="D296" s="91" t="s">
        <v>487</v>
      </c>
      <c r="E296" s="82" t="s">
        <v>26</v>
      </c>
      <c r="F296" s="82">
        <v>1</v>
      </c>
      <c r="G296" s="85"/>
      <c r="H296" s="85"/>
    </row>
    <row r="297" spans="1:8">
      <c r="A297" s="93" t="s">
        <v>488</v>
      </c>
      <c r="B297" s="82" t="s">
        <v>86</v>
      </c>
      <c r="C297" s="82" t="s">
        <v>489</v>
      </c>
      <c r="D297" s="91" t="s">
        <v>490</v>
      </c>
      <c r="E297" s="82" t="s">
        <v>26</v>
      </c>
      <c r="F297" s="82">
        <v>1</v>
      </c>
      <c r="G297" s="85"/>
      <c r="H297" s="85"/>
    </row>
    <row r="298" spans="1:8" ht="29.25">
      <c r="A298" s="93" t="s">
        <v>491</v>
      </c>
      <c r="B298" s="82" t="s">
        <v>86</v>
      </c>
      <c r="C298" s="82" t="s">
        <v>492</v>
      </c>
      <c r="D298" s="92" t="s">
        <v>493</v>
      </c>
      <c r="E298" s="82" t="s">
        <v>26</v>
      </c>
      <c r="F298" s="82">
        <v>1</v>
      </c>
      <c r="G298" s="85"/>
      <c r="H298" s="85"/>
    </row>
    <row r="299" spans="1:8">
      <c r="A299" s="93" t="s">
        <v>494</v>
      </c>
      <c r="B299" s="82" t="s">
        <v>86</v>
      </c>
      <c r="C299" s="82" t="s">
        <v>495</v>
      </c>
      <c r="D299" s="91" t="s">
        <v>496</v>
      </c>
      <c r="E299" s="82" t="s">
        <v>26</v>
      </c>
      <c r="F299" s="82">
        <v>2</v>
      </c>
      <c r="G299" s="85"/>
      <c r="H299" s="85"/>
    </row>
    <row r="300" spans="1:8" ht="29.25">
      <c r="A300" s="93" t="s">
        <v>497</v>
      </c>
      <c r="B300" s="82" t="s">
        <v>86</v>
      </c>
      <c r="C300" s="112" t="s">
        <v>498</v>
      </c>
      <c r="D300" s="92" t="s">
        <v>499</v>
      </c>
      <c r="E300" s="82" t="s">
        <v>23</v>
      </c>
      <c r="F300" s="84">
        <f>(4*0.25)+(5*0.25)</f>
        <v>2.25</v>
      </c>
      <c r="G300" s="85"/>
      <c r="H300" s="85"/>
    </row>
    <row r="301" spans="1:8" ht="30" customHeight="1">
      <c r="A301" s="113" t="s">
        <v>588</v>
      </c>
      <c r="B301" s="82" t="s">
        <v>86</v>
      </c>
      <c r="C301" s="82" t="s">
        <v>684</v>
      </c>
      <c r="D301" s="92" t="s">
        <v>685</v>
      </c>
      <c r="E301" s="112" t="s">
        <v>23</v>
      </c>
      <c r="F301" s="84">
        <f>ROUND(1.8*0.25,2)</f>
        <v>0.45</v>
      </c>
      <c r="G301" s="85"/>
      <c r="H301" s="85"/>
    </row>
    <row r="302" spans="1:8">
      <c r="A302" s="93"/>
      <c r="B302" s="82"/>
      <c r="C302" s="82"/>
      <c r="D302" s="32" t="s">
        <v>500</v>
      </c>
      <c r="E302" s="82"/>
      <c r="F302" s="84"/>
      <c r="G302" s="85"/>
      <c r="H302" s="22"/>
    </row>
    <row r="303" spans="1:8">
      <c r="A303" s="10">
        <v>16</v>
      </c>
      <c r="B303" s="13"/>
      <c r="C303" s="13"/>
      <c r="D303" s="7" t="s">
        <v>501</v>
      </c>
      <c r="E303" s="13"/>
      <c r="F303" s="13"/>
      <c r="G303" s="18"/>
      <c r="H303" s="80"/>
    </row>
    <row r="304" spans="1:8">
      <c r="A304" s="86" t="s">
        <v>502</v>
      </c>
      <c r="B304" s="298" t="s">
        <v>86</v>
      </c>
      <c r="C304" s="82" t="s">
        <v>503</v>
      </c>
      <c r="D304" s="81" t="s">
        <v>504</v>
      </c>
      <c r="E304" s="82" t="s">
        <v>26</v>
      </c>
      <c r="F304" s="82">
        <v>1</v>
      </c>
      <c r="G304" s="85"/>
      <c r="H304" s="85"/>
    </row>
    <row r="305" spans="1:8">
      <c r="A305" s="86" t="s">
        <v>505</v>
      </c>
      <c r="B305" s="82" t="s">
        <v>86</v>
      </c>
      <c r="C305" s="82" t="s">
        <v>506</v>
      </c>
      <c r="D305" s="81" t="s">
        <v>507</v>
      </c>
      <c r="E305" s="82" t="s">
        <v>26</v>
      </c>
      <c r="F305" s="82">
        <v>1</v>
      </c>
      <c r="G305" s="85"/>
      <c r="H305" s="85"/>
    </row>
    <row r="306" spans="1:8">
      <c r="A306" s="86"/>
      <c r="B306" s="82"/>
      <c r="C306" s="82"/>
      <c r="D306" s="31" t="s">
        <v>508</v>
      </c>
      <c r="E306" s="82"/>
      <c r="F306" s="82"/>
      <c r="G306" s="85"/>
      <c r="H306" s="22"/>
    </row>
    <row r="307" spans="1:8">
      <c r="A307" s="10">
        <v>17</v>
      </c>
      <c r="B307" s="13"/>
      <c r="C307" s="13"/>
      <c r="D307" s="7" t="s">
        <v>22</v>
      </c>
      <c r="E307" s="13"/>
      <c r="F307" s="13"/>
      <c r="G307" s="18"/>
      <c r="H307" s="80"/>
    </row>
    <row r="308" spans="1:8">
      <c r="A308" s="86" t="s">
        <v>509</v>
      </c>
      <c r="B308" s="298" t="s">
        <v>86</v>
      </c>
      <c r="C308" s="82" t="s">
        <v>28</v>
      </c>
      <c r="D308" s="81" t="s">
        <v>510</v>
      </c>
      <c r="E308" s="82" t="s">
        <v>23</v>
      </c>
      <c r="F308" s="84">
        <v>99.8</v>
      </c>
      <c r="G308" s="85"/>
      <c r="H308" s="85"/>
    </row>
    <row r="309" spans="1:8">
      <c r="A309" s="86"/>
      <c r="B309" s="82"/>
      <c r="C309" s="82"/>
      <c r="D309" s="31" t="s">
        <v>511</v>
      </c>
      <c r="E309" s="82"/>
      <c r="F309" s="84"/>
      <c r="G309" s="85"/>
      <c r="H309" s="22"/>
    </row>
    <row r="310" spans="1:8" ht="9" customHeight="1">
      <c r="A310" s="98"/>
      <c r="B310" s="99"/>
      <c r="C310" s="99"/>
      <c r="D310" s="100"/>
      <c r="E310" s="100"/>
      <c r="F310" s="99"/>
      <c r="G310" s="100"/>
      <c r="H310" s="100"/>
    </row>
    <row r="311" spans="1:8">
      <c r="A311" s="78"/>
      <c r="B311" s="94"/>
      <c r="C311" s="94"/>
      <c r="D311" s="102" t="s">
        <v>592</v>
      </c>
      <c r="E311" s="79"/>
      <c r="F311" s="94"/>
      <c r="G311" s="79"/>
      <c r="H311" s="18"/>
    </row>
    <row r="312" spans="1:8" ht="9" customHeight="1">
      <c r="A312" s="86"/>
      <c r="B312" s="86"/>
      <c r="C312" s="86"/>
      <c r="D312" s="86"/>
      <c r="E312" s="86"/>
      <c r="F312" s="86"/>
      <c r="G312" s="86"/>
      <c r="H312" s="86"/>
    </row>
    <row r="313" spans="1:8" ht="15.75">
      <c r="A313" s="106" t="s">
        <v>593</v>
      </c>
      <c r="B313" s="13"/>
      <c r="C313" s="13"/>
      <c r="D313" s="95" t="s">
        <v>591</v>
      </c>
      <c r="E313" s="79"/>
      <c r="F313" s="94"/>
      <c r="G313" s="79"/>
      <c r="H313" s="18"/>
    </row>
    <row r="314" spans="1:8" ht="9" customHeight="1">
      <c r="A314" s="81"/>
      <c r="B314" s="81"/>
      <c r="C314" s="81"/>
      <c r="D314" s="81"/>
      <c r="E314" s="81"/>
      <c r="F314" s="81"/>
      <c r="G314" s="81"/>
      <c r="H314" s="81"/>
    </row>
    <row r="315" spans="1:8">
      <c r="A315" s="10">
        <v>1</v>
      </c>
      <c r="B315" s="79"/>
      <c r="C315" s="79"/>
      <c r="D315" s="10" t="s">
        <v>13</v>
      </c>
      <c r="E315" s="79"/>
      <c r="F315" s="79"/>
      <c r="G315" s="80"/>
      <c r="H315" s="80"/>
    </row>
    <row r="316" spans="1:8">
      <c r="A316" s="81" t="s">
        <v>9</v>
      </c>
      <c r="B316" s="82" t="s">
        <v>86</v>
      </c>
      <c r="C316" s="82" t="s">
        <v>513</v>
      </c>
      <c r="D316" s="86" t="s">
        <v>514</v>
      </c>
      <c r="E316" s="82" t="s">
        <v>25</v>
      </c>
      <c r="F316" s="84">
        <f>(9.1*6.6)*1.3</f>
        <v>78.078000000000003</v>
      </c>
      <c r="G316" s="85"/>
      <c r="H316" s="85"/>
    </row>
    <row r="317" spans="1:8">
      <c r="A317" s="81" t="s">
        <v>10</v>
      </c>
      <c r="B317" s="82" t="s">
        <v>86</v>
      </c>
      <c r="C317" s="82" t="s">
        <v>87</v>
      </c>
      <c r="D317" s="83" t="s">
        <v>88</v>
      </c>
      <c r="E317" s="82" t="s">
        <v>25</v>
      </c>
      <c r="F317" s="84">
        <f>(79.5*0.3)</f>
        <v>23.849999999999998</v>
      </c>
      <c r="G317" s="85"/>
      <c r="H317" s="85"/>
    </row>
    <row r="318" spans="1:8">
      <c r="A318" s="81" t="s">
        <v>11</v>
      </c>
      <c r="B318" s="82" t="s">
        <v>86</v>
      </c>
      <c r="C318" s="82" t="s">
        <v>133</v>
      </c>
      <c r="D318" s="86" t="s">
        <v>134</v>
      </c>
      <c r="E318" s="82" t="s">
        <v>23</v>
      </c>
      <c r="F318" s="84">
        <v>129.29</v>
      </c>
      <c r="G318" s="85"/>
      <c r="H318" s="85"/>
    </row>
    <row r="319" spans="1:8">
      <c r="A319" s="81" t="s">
        <v>12</v>
      </c>
      <c r="B319" s="82" t="s">
        <v>86</v>
      </c>
      <c r="C319" s="82" t="s">
        <v>90</v>
      </c>
      <c r="D319" s="86" t="s">
        <v>91</v>
      </c>
      <c r="E319" s="82" t="s">
        <v>92</v>
      </c>
      <c r="F319" s="84">
        <v>4</v>
      </c>
      <c r="G319" s="85"/>
      <c r="H319" s="85"/>
    </row>
    <row r="320" spans="1:8">
      <c r="A320" s="87"/>
      <c r="B320" s="82"/>
      <c r="C320" s="82"/>
      <c r="D320" s="32" t="s">
        <v>33</v>
      </c>
      <c r="E320" s="82"/>
      <c r="F320" s="84"/>
      <c r="G320" s="85"/>
      <c r="H320" s="22"/>
    </row>
    <row r="321" spans="1:8">
      <c r="A321" s="10">
        <v>2</v>
      </c>
      <c r="B321" s="7"/>
      <c r="C321" s="7"/>
      <c r="D321" s="10" t="s">
        <v>135</v>
      </c>
      <c r="E321" s="13"/>
      <c r="F321" s="13"/>
      <c r="G321" s="18"/>
      <c r="H321" s="18"/>
    </row>
    <row r="322" spans="1:8" ht="29.25">
      <c r="A322" s="86" t="s">
        <v>14</v>
      </c>
      <c r="B322" s="82" t="s">
        <v>86</v>
      </c>
      <c r="C322" s="82" t="s">
        <v>136</v>
      </c>
      <c r="D322" s="83" t="s">
        <v>137</v>
      </c>
      <c r="E322" s="82" t="s">
        <v>138</v>
      </c>
      <c r="F322" s="84">
        <v>1</v>
      </c>
      <c r="G322" s="85"/>
      <c r="H322" s="85"/>
    </row>
    <row r="323" spans="1:8">
      <c r="A323" s="86" t="s">
        <v>41</v>
      </c>
      <c r="B323" s="82" t="s">
        <v>86</v>
      </c>
      <c r="C323" s="82" t="s">
        <v>139</v>
      </c>
      <c r="D323" s="86" t="s">
        <v>140</v>
      </c>
      <c r="E323" s="82" t="s">
        <v>27</v>
      </c>
      <c r="F323" s="84">
        <f>20*8</f>
        <v>160</v>
      </c>
      <c r="G323" s="85"/>
      <c r="H323" s="85"/>
    </row>
    <row r="324" spans="1:8">
      <c r="A324" s="86" t="s">
        <v>44</v>
      </c>
      <c r="B324" s="256" t="s">
        <v>86</v>
      </c>
      <c r="C324" s="82" t="s">
        <v>594</v>
      </c>
      <c r="D324" s="86" t="s">
        <v>595</v>
      </c>
      <c r="E324" s="256" t="s">
        <v>27</v>
      </c>
      <c r="F324" s="84">
        <f>(3*5)</f>
        <v>15</v>
      </c>
      <c r="G324" s="85"/>
      <c r="H324" s="85"/>
    </row>
    <row r="325" spans="1:8">
      <c r="A325" s="86" t="s">
        <v>49</v>
      </c>
      <c r="B325" s="82" t="s">
        <v>86</v>
      </c>
      <c r="C325" s="82" t="s">
        <v>141</v>
      </c>
      <c r="D325" s="86" t="s">
        <v>142</v>
      </c>
      <c r="E325" s="82" t="s">
        <v>25</v>
      </c>
      <c r="F325" s="84">
        <f>ROUND(((3+3+3+3+6.05+6.05+2.5+4.7+1.9+1.65+2.5+1.9+1.5+2.5+6.6)*0.2*0.3),2)</f>
        <v>2.99</v>
      </c>
      <c r="G325" s="85"/>
      <c r="H325" s="85"/>
    </row>
    <row r="326" spans="1:8">
      <c r="A326" s="86" t="s">
        <v>145</v>
      </c>
      <c r="B326" s="82" t="s">
        <v>86</v>
      </c>
      <c r="C326" s="82" t="s">
        <v>143</v>
      </c>
      <c r="D326" s="86" t="s">
        <v>144</v>
      </c>
      <c r="E326" s="82" t="s">
        <v>25</v>
      </c>
      <c r="F326" s="84">
        <f>F325</f>
        <v>2.99</v>
      </c>
      <c r="G326" s="85"/>
      <c r="H326" s="85"/>
    </row>
    <row r="327" spans="1:8">
      <c r="A327" s="86" t="s">
        <v>149</v>
      </c>
      <c r="B327" s="82" t="s">
        <v>86</v>
      </c>
      <c r="C327" s="82" t="s">
        <v>146</v>
      </c>
      <c r="D327" s="86" t="s">
        <v>147</v>
      </c>
      <c r="E327" s="82" t="s">
        <v>148</v>
      </c>
      <c r="F327" s="84">
        <f>((3+3+3+3+6.05+6.05+2.5+4.7+1.9+1.65+2.5+1.9+1.5+2.5+6.6)*0.2*0.3)*80</f>
        <v>239.28</v>
      </c>
      <c r="G327" s="85"/>
      <c r="H327" s="85"/>
    </row>
    <row r="328" spans="1:8">
      <c r="A328" s="86" t="s">
        <v>152</v>
      </c>
      <c r="B328" s="82" t="s">
        <v>86</v>
      </c>
      <c r="C328" s="82" t="s">
        <v>150</v>
      </c>
      <c r="D328" s="86" t="s">
        <v>151</v>
      </c>
      <c r="E328" s="82" t="s">
        <v>148</v>
      </c>
      <c r="F328" s="84">
        <f>((3+3+3+3+6.05+6.05+2.5+4.7+1.9+1.65+2.5+1.9+1.5+2.5+6.6)*0.2*0.3)*14</f>
        <v>41.874000000000002</v>
      </c>
      <c r="G328" s="85"/>
      <c r="H328" s="85"/>
    </row>
    <row r="329" spans="1:8">
      <c r="A329" s="86" t="s">
        <v>154</v>
      </c>
      <c r="B329" s="82" t="s">
        <v>86</v>
      </c>
      <c r="C329" s="82" t="s">
        <v>141</v>
      </c>
      <c r="D329" s="86" t="s">
        <v>153</v>
      </c>
      <c r="E329" s="82" t="s">
        <v>25</v>
      </c>
      <c r="F329" s="84">
        <f>ROUND((0.5*0.5*0.4*12)+(0.5*1.4*0.4*4),2)</f>
        <v>2.3199999999999998</v>
      </c>
      <c r="G329" s="85"/>
      <c r="H329" s="85"/>
    </row>
    <row r="330" spans="1:8" ht="29.25">
      <c r="A330" s="86" t="s">
        <v>156</v>
      </c>
      <c r="B330" s="82" t="s">
        <v>86</v>
      </c>
      <c r="C330" s="82" t="s">
        <v>143</v>
      </c>
      <c r="D330" s="83" t="s">
        <v>155</v>
      </c>
      <c r="E330" s="82" t="s">
        <v>25</v>
      </c>
      <c r="F330" s="84">
        <f>F329</f>
        <v>2.3199999999999998</v>
      </c>
      <c r="G330" s="85"/>
      <c r="H330" s="85"/>
    </row>
    <row r="331" spans="1:8">
      <c r="A331" s="86" t="s">
        <v>158</v>
      </c>
      <c r="B331" s="82" t="s">
        <v>86</v>
      </c>
      <c r="C331" s="82" t="s">
        <v>146</v>
      </c>
      <c r="D331" s="86" t="s">
        <v>157</v>
      </c>
      <c r="E331" s="82" t="s">
        <v>148</v>
      </c>
      <c r="F331" s="84">
        <f>F329*80</f>
        <v>185.6</v>
      </c>
      <c r="G331" s="85"/>
      <c r="H331" s="85"/>
    </row>
    <row r="332" spans="1:8">
      <c r="A332" s="86" t="s">
        <v>160</v>
      </c>
      <c r="B332" s="82" t="s">
        <v>86</v>
      </c>
      <c r="C332" s="82" t="s">
        <v>150</v>
      </c>
      <c r="D332" s="86" t="s">
        <v>159</v>
      </c>
      <c r="E332" s="82" t="s">
        <v>148</v>
      </c>
      <c r="F332" s="84">
        <f>F329*14</f>
        <v>32.479999999999997</v>
      </c>
      <c r="G332" s="85"/>
      <c r="H332" s="85"/>
    </row>
    <row r="333" spans="1:8">
      <c r="A333" s="86" t="s">
        <v>1163</v>
      </c>
      <c r="B333" s="82" t="s">
        <v>86</v>
      </c>
      <c r="C333" s="82" t="s">
        <v>161</v>
      </c>
      <c r="D333" s="86" t="s">
        <v>162</v>
      </c>
      <c r="E333" s="82" t="s">
        <v>25</v>
      </c>
      <c r="F333" s="84">
        <f>ROUND(((49.85*0.2)+(0.5*0.5*12))*0.03,2)</f>
        <v>0.39</v>
      </c>
      <c r="G333" s="85"/>
      <c r="H333" s="85"/>
    </row>
    <row r="334" spans="1:8">
      <c r="A334" s="86"/>
      <c r="B334" s="82"/>
      <c r="C334" s="88"/>
      <c r="D334" s="32" t="s">
        <v>34</v>
      </c>
      <c r="E334" s="82"/>
      <c r="F334" s="84"/>
      <c r="G334" s="85"/>
      <c r="H334" s="22"/>
    </row>
    <row r="335" spans="1:8">
      <c r="A335" s="10">
        <v>3</v>
      </c>
      <c r="B335" s="7"/>
      <c r="C335" s="7"/>
      <c r="D335" s="10" t="s">
        <v>163</v>
      </c>
      <c r="E335" s="13"/>
      <c r="F335" s="13"/>
      <c r="G335" s="18"/>
      <c r="H335" s="80"/>
    </row>
    <row r="336" spans="1:8" ht="29.25">
      <c r="A336" s="86" t="s">
        <v>15</v>
      </c>
      <c r="B336" s="82" t="s">
        <v>86</v>
      </c>
      <c r="C336" s="82" t="s">
        <v>141</v>
      </c>
      <c r="D336" s="83" t="s">
        <v>164</v>
      </c>
      <c r="E336" s="82" t="s">
        <v>25</v>
      </c>
      <c r="F336" s="84">
        <f>(0.15*0.25*2.5*3)+(0.15*0.25*3.12*2)+(0.15*0.25*4*3.7)+(0.15*0.25*3*4.26)+(0.15*0.25*1*9.4)+(0.15*0.25*2*8.64)+(0.15*0.25*1*7.75)</f>
        <v>2.8406250000000002</v>
      </c>
      <c r="G336" s="85"/>
      <c r="H336" s="85"/>
    </row>
    <row r="337" spans="1:8">
      <c r="A337" s="86" t="s">
        <v>47</v>
      </c>
      <c r="B337" s="82" t="s">
        <v>86</v>
      </c>
      <c r="C337" s="82" t="s">
        <v>146</v>
      </c>
      <c r="D337" s="25" t="s">
        <v>165</v>
      </c>
      <c r="E337" s="82" t="s">
        <v>148</v>
      </c>
      <c r="F337" s="84">
        <f>80*F336</f>
        <v>227.25</v>
      </c>
      <c r="G337" s="85"/>
      <c r="H337" s="85"/>
    </row>
    <row r="338" spans="1:8">
      <c r="A338" s="86" t="s">
        <v>166</v>
      </c>
      <c r="B338" s="82" t="s">
        <v>86</v>
      </c>
      <c r="C338" s="82" t="s">
        <v>150</v>
      </c>
      <c r="D338" s="25" t="s">
        <v>167</v>
      </c>
      <c r="E338" s="82" t="s">
        <v>148</v>
      </c>
      <c r="F338" s="84">
        <f>14*F336</f>
        <v>39.768750000000004</v>
      </c>
      <c r="G338" s="85"/>
      <c r="H338" s="85"/>
    </row>
    <row r="339" spans="1:8" ht="29.25">
      <c r="A339" s="86" t="s">
        <v>168</v>
      </c>
      <c r="B339" s="82" t="s">
        <v>86</v>
      </c>
      <c r="C339" s="82" t="s">
        <v>141</v>
      </c>
      <c r="D339" s="83" t="s">
        <v>169</v>
      </c>
      <c r="E339" s="82" t="s">
        <v>25</v>
      </c>
      <c r="F339" s="84">
        <f>(6.05+3.55+6.05+1.9+6.6+4.7+2.5+2.23+2.5+1.5+12+12)*0.15*0.35</f>
        <v>3.2329499999999998</v>
      </c>
      <c r="G339" s="85"/>
      <c r="H339" s="85"/>
    </row>
    <row r="340" spans="1:8">
      <c r="A340" s="86" t="s">
        <v>170</v>
      </c>
      <c r="B340" s="82" t="s">
        <v>86</v>
      </c>
      <c r="C340" s="82" t="s">
        <v>146</v>
      </c>
      <c r="D340" s="25" t="s">
        <v>171</v>
      </c>
      <c r="E340" s="82" t="s">
        <v>148</v>
      </c>
      <c r="F340" s="84">
        <f>80*F339</f>
        <v>258.63599999999997</v>
      </c>
      <c r="G340" s="85"/>
      <c r="H340" s="85"/>
    </row>
    <row r="341" spans="1:8">
      <c r="A341" s="86" t="s">
        <v>172</v>
      </c>
      <c r="B341" s="82" t="s">
        <v>86</v>
      </c>
      <c r="C341" s="82" t="s">
        <v>150</v>
      </c>
      <c r="D341" s="25" t="s">
        <v>173</v>
      </c>
      <c r="E341" s="82" t="s">
        <v>148</v>
      </c>
      <c r="F341" s="84">
        <f>14*F339</f>
        <v>45.261299999999999</v>
      </c>
      <c r="G341" s="85"/>
      <c r="H341" s="85"/>
    </row>
    <row r="342" spans="1:8">
      <c r="A342" s="86" t="s">
        <v>174</v>
      </c>
      <c r="B342" s="82" t="s">
        <v>86</v>
      </c>
      <c r="C342" s="82" t="s">
        <v>175</v>
      </c>
      <c r="D342" s="86" t="s">
        <v>176</v>
      </c>
      <c r="E342" s="82" t="s">
        <v>25</v>
      </c>
      <c r="F342" s="84">
        <f>((2.39*4)+((1.724+3.5+1.6+2.2)*2)+(0.8*4)+0.9)*0.15*0.15</f>
        <v>0.7134299999999999</v>
      </c>
      <c r="G342" s="85"/>
      <c r="H342" s="85"/>
    </row>
    <row r="343" spans="1:8" ht="29.25">
      <c r="A343" s="86" t="s">
        <v>177</v>
      </c>
      <c r="B343" s="82" t="s">
        <v>86</v>
      </c>
      <c r="C343" s="82" t="s">
        <v>178</v>
      </c>
      <c r="D343" s="28" t="s">
        <v>179</v>
      </c>
      <c r="E343" s="82" t="s">
        <v>23</v>
      </c>
      <c r="F343" s="84">
        <f>ROUND((3*3)+(4.55*3)+(36.5*1.077),2)</f>
        <v>61.96</v>
      </c>
      <c r="G343" s="85"/>
      <c r="H343" s="85"/>
    </row>
    <row r="344" spans="1:8" ht="29.25">
      <c r="A344" s="86" t="s">
        <v>180</v>
      </c>
      <c r="B344" s="82" t="s">
        <v>86</v>
      </c>
      <c r="C344" s="82" t="s">
        <v>181</v>
      </c>
      <c r="D344" s="28" t="s">
        <v>182</v>
      </c>
      <c r="E344" s="82" t="s">
        <v>23</v>
      </c>
      <c r="F344" s="84">
        <f>(4.55*3)</f>
        <v>13.649999999999999</v>
      </c>
      <c r="G344" s="85"/>
      <c r="H344" s="85"/>
    </row>
    <row r="345" spans="1:8">
      <c r="A345" s="86" t="s">
        <v>183</v>
      </c>
      <c r="B345" s="82" t="s">
        <v>86</v>
      </c>
      <c r="C345" s="82" t="s">
        <v>184</v>
      </c>
      <c r="D345" s="86" t="s">
        <v>185</v>
      </c>
      <c r="E345" s="82" t="s">
        <v>25</v>
      </c>
      <c r="F345" s="84">
        <f>((1.724*1.9)+(3.82*1.92)+(2.6*1.5)+(2.65*1.92)+(2.23*2.5)+(2.72*2.72))*0.05</f>
        <v>1.6285699999999999</v>
      </c>
      <c r="G345" s="85"/>
      <c r="H345" s="85"/>
    </row>
    <row r="346" spans="1:8">
      <c r="A346" s="86" t="s">
        <v>186</v>
      </c>
      <c r="B346" s="82" t="s">
        <v>86</v>
      </c>
      <c r="C346" s="82" t="s">
        <v>187</v>
      </c>
      <c r="D346" s="86" t="s">
        <v>188</v>
      </c>
      <c r="E346" s="82" t="s">
        <v>23</v>
      </c>
      <c r="F346" s="84">
        <f>(0.25*2.5*10)</f>
        <v>6.25</v>
      </c>
      <c r="G346" s="85"/>
      <c r="H346" s="85"/>
    </row>
    <row r="347" spans="1:8">
      <c r="A347" s="86" t="s">
        <v>189</v>
      </c>
      <c r="B347" s="82" t="s">
        <v>86</v>
      </c>
      <c r="C347" s="82" t="s">
        <v>190</v>
      </c>
      <c r="D347" s="86" t="s">
        <v>191</v>
      </c>
      <c r="E347" s="82" t="s">
        <v>25</v>
      </c>
      <c r="F347" s="84">
        <f>F336+F339+F345</f>
        <v>7.7021449999999998</v>
      </c>
      <c r="G347" s="85"/>
      <c r="H347" s="85"/>
    </row>
    <row r="348" spans="1:8">
      <c r="A348" s="86"/>
      <c r="B348" s="82"/>
      <c r="C348" s="82"/>
      <c r="D348" s="31" t="s">
        <v>35</v>
      </c>
      <c r="E348" s="82"/>
      <c r="F348" s="84"/>
      <c r="G348" s="85"/>
      <c r="H348" s="22"/>
    </row>
    <row r="349" spans="1:8">
      <c r="A349" s="10">
        <v>4</v>
      </c>
      <c r="B349" s="7"/>
      <c r="C349" s="7"/>
      <c r="D349" s="10" t="s">
        <v>192</v>
      </c>
      <c r="E349" s="13"/>
      <c r="F349" s="13"/>
      <c r="G349" s="18"/>
      <c r="H349" s="80"/>
    </row>
    <row r="350" spans="1:8">
      <c r="A350" s="86" t="s">
        <v>16</v>
      </c>
      <c r="B350" s="82" t="s">
        <v>86</v>
      </c>
      <c r="C350" s="82" t="s">
        <v>193</v>
      </c>
      <c r="D350" s="25" t="s">
        <v>194</v>
      </c>
      <c r="E350" s="82" t="s">
        <v>25</v>
      </c>
      <c r="F350" s="84">
        <f>((6.05+3.55+6.05+1.9+6.6+4.7+2.5+2.23+2.5+1.5+12)*0.2*0.15)</f>
        <v>1.4874000000000001</v>
      </c>
      <c r="G350" s="85"/>
      <c r="H350" s="85"/>
    </row>
    <row r="351" spans="1:8">
      <c r="A351" s="86" t="s">
        <v>17</v>
      </c>
      <c r="B351" s="82" t="s">
        <v>86</v>
      </c>
      <c r="C351" s="82" t="s">
        <v>195</v>
      </c>
      <c r="D351" s="25" t="s">
        <v>196</v>
      </c>
      <c r="E351" s="82" t="s">
        <v>23</v>
      </c>
      <c r="F351" s="84">
        <f>ROUND(F377+(4*4.17)+(5.55*1.67/2)+(5.55*2.1)+(6.6*2.1)+(4.15*2.1)+(4.15*1.25/2)+(5.55*2.1)+(5.55*1.67/2)+(3.25*1.9)+(3.35*2.5)+(2.88*1.5)+(2.68*2.5)+((3.55+2.88)*2.23/2)-(1.72*1.82)-(3.5*1.1)-(2.2*1.3)-(1.6*0.6)-(2.35*3.2*2)-(0.9*2.1*1)-(0.8*2.1*4)-F352,2)</f>
        <v>148.04</v>
      </c>
      <c r="G351" s="85"/>
      <c r="H351" s="85"/>
    </row>
    <row r="352" spans="1:8">
      <c r="A352" s="86" t="s">
        <v>93</v>
      </c>
      <c r="B352" s="256" t="s">
        <v>86</v>
      </c>
      <c r="C352" s="82" t="s">
        <v>1229</v>
      </c>
      <c r="D352" s="25" t="s">
        <v>1228</v>
      </c>
      <c r="E352" s="256" t="s">
        <v>23</v>
      </c>
      <c r="F352" s="84">
        <f>(6.6*2.1)</f>
        <v>13.86</v>
      </c>
      <c r="G352" s="85"/>
      <c r="H352" s="85"/>
    </row>
    <row r="353" spans="1:8" ht="29.25">
      <c r="A353" s="86" t="s">
        <v>94</v>
      </c>
      <c r="B353" s="82" t="s">
        <v>86</v>
      </c>
      <c r="C353" s="82" t="s">
        <v>181</v>
      </c>
      <c r="D353" s="28" t="s">
        <v>515</v>
      </c>
      <c r="E353" s="82" t="s">
        <v>23</v>
      </c>
      <c r="F353" s="84">
        <f>(6.6*2.6)</f>
        <v>17.16</v>
      </c>
      <c r="G353" s="85"/>
      <c r="H353" s="85"/>
    </row>
    <row r="354" spans="1:8" ht="29.25">
      <c r="A354" s="86" t="s">
        <v>599</v>
      </c>
      <c r="B354" s="82" t="s">
        <v>86</v>
      </c>
      <c r="C354" s="82" t="s">
        <v>198</v>
      </c>
      <c r="D354" s="28" t="s">
        <v>199</v>
      </c>
      <c r="E354" s="82" t="s">
        <v>23</v>
      </c>
      <c r="F354" s="84">
        <f>((6.05+3.55+6.05+1.9+6.6+4.7+2.5+2.23+2.5+1.5+12)*0.4)</f>
        <v>19.832000000000001</v>
      </c>
      <c r="G354" s="85"/>
      <c r="H354" s="85"/>
    </row>
    <row r="355" spans="1:8">
      <c r="A355" s="86"/>
      <c r="B355" s="82"/>
      <c r="C355" s="82"/>
      <c r="D355" s="89" t="s">
        <v>36</v>
      </c>
      <c r="E355" s="82"/>
      <c r="F355" s="84"/>
      <c r="G355" s="85"/>
      <c r="H355" s="22"/>
    </row>
    <row r="356" spans="1:8">
      <c r="A356" s="10">
        <v>5</v>
      </c>
      <c r="B356" s="7"/>
      <c r="C356" s="13"/>
      <c r="D356" s="10" t="s">
        <v>200</v>
      </c>
      <c r="E356" s="13"/>
      <c r="F356" s="13"/>
      <c r="G356" s="18"/>
      <c r="H356" s="80"/>
    </row>
    <row r="357" spans="1:8" ht="43.5">
      <c r="A357" s="86" t="s">
        <v>18</v>
      </c>
      <c r="B357" s="82" t="s">
        <v>86</v>
      </c>
      <c r="C357" s="82" t="s">
        <v>516</v>
      </c>
      <c r="D357" s="28" t="s">
        <v>1154</v>
      </c>
      <c r="E357" s="82" t="s">
        <v>148</v>
      </c>
      <c r="F357" s="84">
        <f>78.03*14</f>
        <v>1092.42</v>
      </c>
      <c r="G357" s="85"/>
      <c r="H357" s="85"/>
    </row>
    <row r="358" spans="1:8" ht="29.25">
      <c r="A358" s="86" t="s">
        <v>52</v>
      </c>
      <c r="B358" s="82" t="s">
        <v>86</v>
      </c>
      <c r="C358" s="82" t="s">
        <v>517</v>
      </c>
      <c r="D358" s="83" t="s">
        <v>518</v>
      </c>
      <c r="E358" s="82" t="s">
        <v>148</v>
      </c>
      <c r="F358" s="84">
        <f>(6.9*9.55)</f>
        <v>65.89500000000001</v>
      </c>
      <c r="G358" s="85"/>
      <c r="H358" s="85"/>
    </row>
    <row r="359" spans="1:8">
      <c r="A359" s="86" t="s">
        <v>54</v>
      </c>
      <c r="B359" s="82" t="s">
        <v>86</v>
      </c>
      <c r="C359" s="82" t="s">
        <v>203</v>
      </c>
      <c r="D359" s="25" t="s">
        <v>204</v>
      </c>
      <c r="E359" s="82" t="s">
        <v>23</v>
      </c>
      <c r="F359" s="84">
        <f>((73.39+31.93)*1.077)</f>
        <v>113.42963999999999</v>
      </c>
      <c r="G359" s="85"/>
      <c r="H359" s="85"/>
    </row>
    <row r="360" spans="1:8">
      <c r="A360" s="86" t="s">
        <v>55</v>
      </c>
      <c r="B360" s="82" t="s">
        <v>86</v>
      </c>
      <c r="C360" s="82" t="s">
        <v>205</v>
      </c>
      <c r="D360" s="25" t="s">
        <v>206</v>
      </c>
      <c r="E360" s="82" t="s">
        <v>27</v>
      </c>
      <c r="F360" s="84">
        <v>2.75</v>
      </c>
      <c r="G360" s="85"/>
      <c r="H360" s="85"/>
    </row>
    <row r="361" spans="1:8" ht="29.25">
      <c r="A361" s="86" t="s">
        <v>209</v>
      </c>
      <c r="B361" s="82" t="s">
        <v>86</v>
      </c>
      <c r="C361" s="82" t="s">
        <v>519</v>
      </c>
      <c r="D361" s="28" t="s">
        <v>520</v>
      </c>
      <c r="E361" s="82" t="s">
        <v>23</v>
      </c>
      <c r="F361" s="84">
        <f>(2.1*6.6)</f>
        <v>13.86</v>
      </c>
      <c r="G361" s="85"/>
      <c r="H361" s="85"/>
    </row>
    <row r="362" spans="1:8">
      <c r="A362" s="86" t="s">
        <v>211</v>
      </c>
      <c r="B362" s="82" t="s">
        <v>86</v>
      </c>
      <c r="C362" s="82" t="s">
        <v>207</v>
      </c>
      <c r="D362" s="86" t="s">
        <v>208</v>
      </c>
      <c r="E362" s="82" t="s">
        <v>27</v>
      </c>
      <c r="F362" s="84">
        <f>(6.6+6.6)</f>
        <v>13.2</v>
      </c>
      <c r="G362" s="85"/>
      <c r="H362" s="85"/>
    </row>
    <row r="363" spans="1:8">
      <c r="A363" s="86" t="s">
        <v>521</v>
      </c>
      <c r="B363" s="82" t="s">
        <v>86</v>
      </c>
      <c r="C363" s="82" t="s">
        <v>207</v>
      </c>
      <c r="D363" s="86" t="s">
        <v>210</v>
      </c>
      <c r="E363" s="82" t="s">
        <v>27</v>
      </c>
      <c r="F363" s="84">
        <f>(4.5+4.5+3+3+6.6)</f>
        <v>21.6</v>
      </c>
      <c r="G363" s="85"/>
      <c r="H363" s="85"/>
    </row>
    <row r="364" spans="1:8">
      <c r="A364" s="86" t="s">
        <v>522</v>
      </c>
      <c r="B364" s="82" t="s">
        <v>86</v>
      </c>
      <c r="C364" s="82" t="s">
        <v>207</v>
      </c>
      <c r="D364" s="81" t="s">
        <v>212</v>
      </c>
      <c r="E364" s="82" t="s">
        <v>27</v>
      </c>
      <c r="F364" s="84">
        <f>(2.1+2.6)</f>
        <v>4.7</v>
      </c>
      <c r="G364" s="85"/>
      <c r="H364" s="85"/>
    </row>
    <row r="365" spans="1:8">
      <c r="A365" s="86"/>
      <c r="B365" s="82"/>
      <c r="C365" s="82"/>
      <c r="D365" s="31" t="s">
        <v>60</v>
      </c>
      <c r="E365" s="82"/>
      <c r="F365" s="84"/>
      <c r="G365" s="85"/>
      <c r="H365" s="22"/>
    </row>
    <row r="366" spans="1:8">
      <c r="A366" s="10">
        <v>6</v>
      </c>
      <c r="B366" s="10"/>
      <c r="C366" s="10"/>
      <c r="D366" s="10" t="s">
        <v>213</v>
      </c>
      <c r="E366" s="10"/>
      <c r="F366" s="10"/>
      <c r="G366" s="10"/>
      <c r="H366" s="10"/>
    </row>
    <row r="367" spans="1:8">
      <c r="A367" s="86" t="s">
        <v>62</v>
      </c>
      <c r="B367" s="82" t="s">
        <v>86</v>
      </c>
      <c r="C367" s="82" t="s">
        <v>523</v>
      </c>
      <c r="D367" s="86" t="s">
        <v>524</v>
      </c>
      <c r="E367" s="82" t="s">
        <v>23</v>
      </c>
      <c r="F367" s="84">
        <f>ROUND((87.16-9.13),2)</f>
        <v>78.03</v>
      </c>
      <c r="G367" s="85"/>
      <c r="H367" s="85"/>
    </row>
    <row r="368" spans="1:8">
      <c r="A368" s="86"/>
      <c r="B368" s="82"/>
      <c r="C368" s="82"/>
      <c r="D368" s="31" t="s">
        <v>66</v>
      </c>
      <c r="E368" s="82"/>
      <c r="F368" s="84"/>
      <c r="G368" s="85"/>
      <c r="H368" s="22"/>
    </row>
    <row r="369" spans="1:8">
      <c r="A369" s="10">
        <v>7</v>
      </c>
      <c r="B369" s="13"/>
      <c r="C369" s="13"/>
      <c r="D369" s="10" t="s">
        <v>216</v>
      </c>
      <c r="E369" s="13"/>
      <c r="F369" s="13"/>
      <c r="G369" s="18"/>
      <c r="H369" s="80"/>
    </row>
    <row r="370" spans="1:8">
      <c r="A370" s="86" t="s">
        <v>68</v>
      </c>
      <c r="B370" s="82" t="s">
        <v>86</v>
      </c>
      <c r="C370" s="82" t="s">
        <v>217</v>
      </c>
      <c r="D370" s="86" t="s">
        <v>525</v>
      </c>
      <c r="E370" s="82" t="s">
        <v>23</v>
      </c>
      <c r="F370" s="84">
        <f>(F351*2)+F354+F343</f>
        <v>377.87199999999996</v>
      </c>
      <c r="G370" s="85"/>
      <c r="H370" s="85"/>
    </row>
    <row r="371" spans="1:8">
      <c r="A371" s="86" t="s">
        <v>69</v>
      </c>
      <c r="B371" s="82" t="s">
        <v>86</v>
      </c>
      <c r="C371" s="82" t="s">
        <v>219</v>
      </c>
      <c r="D371" s="25" t="s">
        <v>526</v>
      </c>
      <c r="E371" s="82" t="s">
        <v>23</v>
      </c>
      <c r="F371" s="84">
        <f>F370</f>
        <v>377.87199999999996</v>
      </c>
      <c r="G371" s="85"/>
      <c r="H371" s="85"/>
    </row>
    <row r="372" spans="1:8" ht="43.5">
      <c r="A372" s="86" t="s">
        <v>70</v>
      </c>
      <c r="B372" s="82" t="s">
        <v>86</v>
      </c>
      <c r="C372" s="82" t="s">
        <v>527</v>
      </c>
      <c r="D372" s="28" t="s">
        <v>528</v>
      </c>
      <c r="E372" s="82" t="s">
        <v>23</v>
      </c>
      <c r="F372" s="84">
        <f>((1.9+1.724+1.9+1.724)*2)-(0.9*2.1)</f>
        <v>12.605999999999998</v>
      </c>
      <c r="G372" s="85"/>
      <c r="H372" s="85"/>
    </row>
    <row r="373" spans="1:8" ht="43.5">
      <c r="A373" s="86" t="s">
        <v>223</v>
      </c>
      <c r="B373" s="82" t="s">
        <v>86</v>
      </c>
      <c r="C373" s="82" t="s">
        <v>527</v>
      </c>
      <c r="D373" s="28" t="s">
        <v>529</v>
      </c>
      <c r="E373" s="82" t="s">
        <v>23</v>
      </c>
      <c r="F373" s="84">
        <f>((3.82+1.92+1.92+3.82)*2)-(0.8*2.1)</f>
        <v>21.28</v>
      </c>
      <c r="G373" s="85"/>
      <c r="H373" s="85"/>
    </row>
    <row r="374" spans="1:8" ht="43.5">
      <c r="A374" s="86" t="s">
        <v>225</v>
      </c>
      <c r="B374" s="82" t="s">
        <v>86</v>
      </c>
      <c r="C374" s="82" t="s">
        <v>527</v>
      </c>
      <c r="D374" s="28" t="s">
        <v>530</v>
      </c>
      <c r="E374" s="82" t="s">
        <v>23</v>
      </c>
      <c r="F374" s="84">
        <f>((2.6+4.15+1.92+2.65+1.5)*2)-(0.8*2.1)</f>
        <v>23.96</v>
      </c>
      <c r="G374" s="85"/>
      <c r="H374" s="85"/>
    </row>
    <row r="375" spans="1:8" ht="29.25">
      <c r="A375" s="86" t="s">
        <v>227</v>
      </c>
      <c r="B375" s="82" t="s">
        <v>86</v>
      </c>
      <c r="C375" s="82" t="s">
        <v>527</v>
      </c>
      <c r="D375" s="28" t="s">
        <v>531</v>
      </c>
      <c r="E375" s="82" t="s">
        <v>23</v>
      </c>
      <c r="F375" s="84">
        <f>((2.23+2.23+2.5+2.5)*2)-(0.8*2.1)</f>
        <v>17.240000000000002</v>
      </c>
      <c r="G375" s="85"/>
      <c r="H375" s="85"/>
    </row>
    <row r="376" spans="1:8" ht="29.25">
      <c r="A376" s="86" t="s">
        <v>229</v>
      </c>
      <c r="B376" s="82" t="s">
        <v>86</v>
      </c>
      <c r="C376" s="82" t="s">
        <v>532</v>
      </c>
      <c r="D376" s="28" t="s">
        <v>533</v>
      </c>
      <c r="E376" s="82" t="s">
        <v>23</v>
      </c>
      <c r="F376" s="84">
        <f>(3.55*2.5)+(2.5*2.5)</f>
        <v>15.125</v>
      </c>
      <c r="G376" s="85"/>
      <c r="H376" s="85"/>
    </row>
    <row r="377" spans="1:8">
      <c r="A377" s="86" t="s">
        <v>534</v>
      </c>
      <c r="B377" s="82" t="s">
        <v>86</v>
      </c>
      <c r="C377" s="82" t="s">
        <v>535</v>
      </c>
      <c r="D377" s="25" t="s">
        <v>536</v>
      </c>
      <c r="E377" s="82" t="s">
        <v>23</v>
      </c>
      <c r="F377" s="84">
        <f>(((9.8+8.75)*3/2)*2)+(((8.75+8)*3/2)*2)-(2.35*3.2*2)-(0.8*2.1)</f>
        <v>89.179999999999993</v>
      </c>
      <c r="G377" s="85"/>
      <c r="H377" s="85"/>
    </row>
    <row r="378" spans="1:8" ht="29.25">
      <c r="A378" s="86" t="s">
        <v>537</v>
      </c>
      <c r="B378" s="82" t="s">
        <v>86</v>
      </c>
      <c r="C378" s="82" t="s">
        <v>230</v>
      </c>
      <c r="D378" s="28" t="s">
        <v>538</v>
      </c>
      <c r="E378" s="82" t="s">
        <v>23</v>
      </c>
      <c r="F378" s="84">
        <f>F377</f>
        <v>89.179999999999993</v>
      </c>
      <c r="G378" s="85"/>
      <c r="H378" s="85"/>
    </row>
    <row r="379" spans="1:8">
      <c r="A379" s="86"/>
      <c r="B379" s="82"/>
      <c r="C379" s="82"/>
      <c r="D379" s="89" t="s">
        <v>71</v>
      </c>
      <c r="E379" s="82"/>
      <c r="F379" s="84"/>
      <c r="G379" s="85"/>
      <c r="H379" s="22"/>
    </row>
    <row r="380" spans="1:8">
      <c r="A380" s="10">
        <v>8</v>
      </c>
      <c r="B380" s="13"/>
      <c r="C380" s="13"/>
      <c r="D380" s="10" t="s">
        <v>233</v>
      </c>
      <c r="E380" s="13"/>
      <c r="F380" s="20"/>
      <c r="G380" s="18"/>
      <c r="H380" s="80"/>
    </row>
    <row r="381" spans="1:8" ht="43.5">
      <c r="A381" s="86" t="s">
        <v>73</v>
      </c>
      <c r="B381" s="82" t="s">
        <v>86</v>
      </c>
      <c r="C381" s="82" t="s">
        <v>539</v>
      </c>
      <c r="D381" s="28" t="s">
        <v>540</v>
      </c>
      <c r="E381" s="82" t="s">
        <v>23</v>
      </c>
      <c r="F381" s="84">
        <f>(1.724*1.9)</f>
        <v>3.2755999999999998</v>
      </c>
      <c r="G381" s="85"/>
      <c r="H381" s="85"/>
    </row>
    <row r="382" spans="1:8" ht="43.5">
      <c r="A382" s="86" t="s">
        <v>75</v>
      </c>
      <c r="B382" s="82" t="s">
        <v>86</v>
      </c>
      <c r="C382" s="82" t="s">
        <v>539</v>
      </c>
      <c r="D382" s="28" t="s">
        <v>541</v>
      </c>
      <c r="E382" s="82" t="s">
        <v>23</v>
      </c>
      <c r="F382" s="84">
        <f>(3.82*1.92)</f>
        <v>7.3343999999999996</v>
      </c>
      <c r="G382" s="85"/>
      <c r="H382" s="85"/>
    </row>
    <row r="383" spans="1:8" ht="43.5">
      <c r="A383" s="86" t="s">
        <v>78</v>
      </c>
      <c r="B383" s="82" t="s">
        <v>86</v>
      </c>
      <c r="C383" s="82" t="s">
        <v>539</v>
      </c>
      <c r="D383" s="28" t="s">
        <v>542</v>
      </c>
      <c r="E383" s="82" t="s">
        <v>23</v>
      </c>
      <c r="F383" s="84">
        <f>(2.6*1.5)+(2.65*1.92)</f>
        <v>8.9879999999999995</v>
      </c>
      <c r="G383" s="85"/>
      <c r="H383" s="85"/>
    </row>
    <row r="384" spans="1:8" ht="43.5">
      <c r="A384" s="86" t="s">
        <v>109</v>
      </c>
      <c r="B384" s="82" t="s">
        <v>86</v>
      </c>
      <c r="C384" s="82" t="s">
        <v>539</v>
      </c>
      <c r="D384" s="28" t="s">
        <v>543</v>
      </c>
      <c r="E384" s="82" t="s">
        <v>23</v>
      </c>
      <c r="F384" s="84">
        <f>(2.23*2.5)</f>
        <v>5.5750000000000002</v>
      </c>
      <c r="G384" s="85"/>
      <c r="H384" s="85"/>
    </row>
    <row r="385" spans="1:8" ht="43.5">
      <c r="A385" s="86" t="s">
        <v>112</v>
      </c>
      <c r="B385" s="82" t="s">
        <v>86</v>
      </c>
      <c r="C385" s="82" t="s">
        <v>539</v>
      </c>
      <c r="D385" s="28" t="s">
        <v>544</v>
      </c>
      <c r="E385" s="82" t="s">
        <v>23</v>
      </c>
      <c r="F385" s="84">
        <f>(2.72*2.72)</f>
        <v>7.3984000000000014</v>
      </c>
      <c r="G385" s="85"/>
      <c r="H385" s="85"/>
    </row>
    <row r="386" spans="1:8" ht="43.5">
      <c r="A386" s="86" t="s">
        <v>113</v>
      </c>
      <c r="B386" s="82" t="s">
        <v>86</v>
      </c>
      <c r="C386" s="82" t="s">
        <v>545</v>
      </c>
      <c r="D386" s="83" t="s">
        <v>546</v>
      </c>
      <c r="E386" s="82" t="s">
        <v>27</v>
      </c>
      <c r="F386" s="84">
        <f>((1.724+1.9)*2)+((3.82+1.92)*2)+2.6+1.5+1.5+1.92+0.7+(2.65*2)+((2.23+2.5)*2)+((2.72+2.72)*2)-(0.8*4)-0.9</f>
        <v>48.488000000000007</v>
      </c>
      <c r="G386" s="85"/>
      <c r="H386" s="85"/>
    </row>
    <row r="387" spans="1:8">
      <c r="A387" s="86"/>
      <c r="B387" s="82"/>
      <c r="C387" s="82"/>
      <c r="D387" s="31" t="s">
        <v>80</v>
      </c>
      <c r="E387" s="82"/>
      <c r="F387" s="84"/>
      <c r="G387" s="85"/>
      <c r="H387" s="22"/>
    </row>
    <row r="388" spans="1:8">
      <c r="A388" s="10">
        <v>9</v>
      </c>
      <c r="B388" s="13"/>
      <c r="C388" s="13"/>
      <c r="D388" s="10" t="s">
        <v>547</v>
      </c>
      <c r="E388" s="13"/>
      <c r="F388" s="13"/>
      <c r="G388" s="18"/>
      <c r="H388" s="80"/>
    </row>
    <row r="389" spans="1:8" ht="29.25">
      <c r="A389" s="246" t="s">
        <v>81</v>
      </c>
      <c r="B389" s="82" t="s">
        <v>86</v>
      </c>
      <c r="C389" s="82" t="s">
        <v>63</v>
      </c>
      <c r="D389" s="83" t="s">
        <v>65</v>
      </c>
      <c r="E389" s="82" t="s">
        <v>23</v>
      </c>
      <c r="F389" s="84">
        <v>106.53</v>
      </c>
      <c r="G389" s="85"/>
      <c r="H389" s="85"/>
    </row>
    <row r="390" spans="1:8">
      <c r="A390" s="86"/>
      <c r="B390" s="82"/>
      <c r="C390" s="82"/>
      <c r="D390" s="32" t="s">
        <v>83</v>
      </c>
      <c r="E390" s="82"/>
      <c r="F390" s="84"/>
      <c r="G390" s="85"/>
      <c r="H390" s="22"/>
    </row>
    <row r="391" spans="1:8">
      <c r="A391" s="10">
        <v>10</v>
      </c>
      <c r="B391" s="13"/>
      <c r="C391" s="13"/>
      <c r="D391" s="10" t="s">
        <v>250</v>
      </c>
      <c r="E391" s="13"/>
      <c r="F391" s="13"/>
      <c r="G391" s="18"/>
      <c r="H391" s="80"/>
    </row>
    <row r="392" spans="1:8" ht="43.5">
      <c r="A392" s="86" t="s">
        <v>103</v>
      </c>
      <c r="B392" s="82" t="s">
        <v>86</v>
      </c>
      <c r="C392" s="82" t="s">
        <v>251</v>
      </c>
      <c r="D392" s="28" t="s">
        <v>252</v>
      </c>
      <c r="E392" s="82" t="s">
        <v>26</v>
      </c>
      <c r="F392" s="82">
        <v>1</v>
      </c>
      <c r="G392" s="85"/>
      <c r="H392" s="85"/>
    </row>
    <row r="393" spans="1:8" ht="43.5">
      <c r="A393" s="86" t="s">
        <v>253</v>
      </c>
      <c r="B393" s="82" t="s">
        <v>86</v>
      </c>
      <c r="C393" s="82" t="s">
        <v>254</v>
      </c>
      <c r="D393" s="28" t="s">
        <v>255</v>
      </c>
      <c r="E393" s="82" t="s">
        <v>26</v>
      </c>
      <c r="F393" s="82">
        <v>4</v>
      </c>
      <c r="G393" s="85"/>
      <c r="H393" s="85"/>
    </row>
    <row r="394" spans="1:8">
      <c r="A394" s="86" t="s">
        <v>256</v>
      </c>
      <c r="B394" s="82" t="s">
        <v>86</v>
      </c>
      <c r="C394" s="82" t="s">
        <v>548</v>
      </c>
      <c r="D394" s="91" t="s">
        <v>549</v>
      </c>
      <c r="E394" s="82" t="s">
        <v>26</v>
      </c>
      <c r="F394" s="82">
        <v>4</v>
      </c>
      <c r="G394" s="85"/>
      <c r="H394" s="85"/>
    </row>
    <row r="395" spans="1:8">
      <c r="A395" s="86" t="s">
        <v>259</v>
      </c>
      <c r="B395" s="82" t="s">
        <v>86</v>
      </c>
      <c r="C395" s="82" t="s">
        <v>550</v>
      </c>
      <c r="D395" s="91" t="s">
        <v>551</v>
      </c>
      <c r="E395" s="82" t="s">
        <v>23</v>
      </c>
      <c r="F395" s="84">
        <f>(1.72*1.82/2)+(3.5*1.1/2)+(2.2*1.3/2)+(1.6*0.6/2)+(2.35*3.2)</f>
        <v>12.920200000000001</v>
      </c>
      <c r="G395" s="85"/>
      <c r="H395" s="85"/>
    </row>
    <row r="396" spans="1:8">
      <c r="A396" s="86" t="s">
        <v>262</v>
      </c>
      <c r="B396" s="82" t="s">
        <v>86</v>
      </c>
      <c r="C396" s="82" t="s">
        <v>552</v>
      </c>
      <c r="D396" s="91" t="s">
        <v>553</v>
      </c>
      <c r="E396" s="82" t="s">
        <v>23</v>
      </c>
      <c r="F396" s="84">
        <f>F395</f>
        <v>12.920200000000001</v>
      </c>
      <c r="G396" s="85"/>
      <c r="H396" s="85"/>
    </row>
    <row r="397" spans="1:8">
      <c r="A397" s="86" t="s">
        <v>265</v>
      </c>
      <c r="B397" s="82" t="s">
        <v>86</v>
      </c>
      <c r="C397" s="82" t="s">
        <v>554</v>
      </c>
      <c r="D397" s="91" t="s">
        <v>555</v>
      </c>
      <c r="E397" s="82" t="s">
        <v>23</v>
      </c>
      <c r="F397" s="84">
        <f>(((9.65*3.1/2)+((3.45+3.1)*1.65/2)+((2.1+1.6)*1.85/2)+(1.6*3.85/2))*2)+((6.2+4.15)*3.95/2)+(6.2*1.7)-(1.1*2.5)-14</f>
        <v>67.958750000000009</v>
      </c>
      <c r="G397" s="85"/>
      <c r="H397" s="85"/>
    </row>
    <row r="398" spans="1:8">
      <c r="A398" s="86" t="s">
        <v>267</v>
      </c>
      <c r="B398" s="82" t="s">
        <v>86</v>
      </c>
      <c r="C398" s="82" t="s">
        <v>556</v>
      </c>
      <c r="D398" s="91" t="s">
        <v>557</v>
      </c>
      <c r="E398" s="82" t="s">
        <v>23</v>
      </c>
      <c r="F398" s="84">
        <f>F397</f>
        <v>67.958750000000009</v>
      </c>
      <c r="G398" s="85"/>
      <c r="H398" s="85"/>
    </row>
    <row r="399" spans="1:8">
      <c r="A399" s="86"/>
      <c r="B399" s="82"/>
      <c r="C399" s="54"/>
      <c r="D399" s="32" t="s">
        <v>104</v>
      </c>
      <c r="E399" s="82"/>
      <c r="F399" s="84"/>
      <c r="G399" s="85"/>
      <c r="H399" s="22"/>
    </row>
    <row r="400" spans="1:8">
      <c r="A400" s="10">
        <v>11</v>
      </c>
      <c r="B400" s="13"/>
      <c r="C400" s="13"/>
      <c r="D400" s="7" t="s">
        <v>270</v>
      </c>
      <c r="E400" s="13"/>
      <c r="F400" s="13"/>
      <c r="G400" s="18"/>
      <c r="H400" s="80"/>
    </row>
    <row r="401" spans="1:8">
      <c r="A401" s="86" t="s">
        <v>271</v>
      </c>
      <c r="B401" s="82" t="s">
        <v>86</v>
      </c>
      <c r="C401" s="54" t="s">
        <v>272</v>
      </c>
      <c r="D401" s="91" t="s">
        <v>273</v>
      </c>
      <c r="E401" s="82" t="s">
        <v>23</v>
      </c>
      <c r="F401" s="84">
        <f>F370-F372-F373-F374-F375-F376-F377</f>
        <v>198.48099999999999</v>
      </c>
      <c r="G401" s="85"/>
      <c r="H401" s="85"/>
    </row>
    <row r="402" spans="1:8">
      <c r="A402" s="86" t="s">
        <v>274</v>
      </c>
      <c r="B402" s="82" t="s">
        <v>86</v>
      </c>
      <c r="C402" s="82" t="s">
        <v>275</v>
      </c>
      <c r="D402" s="81" t="s">
        <v>558</v>
      </c>
      <c r="E402" s="82" t="s">
        <v>23</v>
      </c>
      <c r="F402" s="84">
        <f>(3+3+(3*4.45)+(3*4.45)-(0.8*2.1))</f>
        <v>31.020000000000003</v>
      </c>
      <c r="G402" s="85"/>
      <c r="H402" s="85"/>
    </row>
    <row r="403" spans="1:8">
      <c r="A403" s="86" t="s">
        <v>277</v>
      </c>
      <c r="B403" s="82" t="s">
        <v>86</v>
      </c>
      <c r="C403" s="54" t="s">
        <v>278</v>
      </c>
      <c r="D403" s="92" t="s">
        <v>279</v>
      </c>
      <c r="E403" s="82" t="s">
        <v>23</v>
      </c>
      <c r="F403" s="84">
        <f>F401-F402</f>
        <v>167.46099999999998</v>
      </c>
      <c r="G403" s="85"/>
      <c r="H403" s="85"/>
    </row>
    <row r="404" spans="1:8">
      <c r="A404" s="86" t="s">
        <v>280</v>
      </c>
      <c r="B404" s="82" t="s">
        <v>86</v>
      </c>
      <c r="C404" s="82" t="s">
        <v>559</v>
      </c>
      <c r="D404" s="81" t="s">
        <v>560</v>
      </c>
      <c r="E404" s="82" t="s">
        <v>23</v>
      </c>
      <c r="F404" s="84">
        <f>(0.1*3.5)+0.1</f>
        <v>0.45000000000000007</v>
      </c>
      <c r="G404" s="85"/>
      <c r="H404" s="85"/>
    </row>
    <row r="405" spans="1:8">
      <c r="A405" s="86" t="s">
        <v>561</v>
      </c>
      <c r="B405" s="82" t="s">
        <v>86</v>
      </c>
      <c r="C405" s="82" t="s">
        <v>281</v>
      </c>
      <c r="D405" s="81" t="s">
        <v>282</v>
      </c>
      <c r="E405" s="82" t="s">
        <v>23</v>
      </c>
      <c r="F405" s="84">
        <f>(0.9*2.1*2)+(0.8*2.1*8)</f>
        <v>17.220000000000002</v>
      </c>
      <c r="G405" s="85"/>
      <c r="H405" s="85"/>
    </row>
    <row r="406" spans="1:8">
      <c r="A406" s="86"/>
      <c r="B406" s="82"/>
      <c r="C406" s="82"/>
      <c r="D406" s="89" t="s">
        <v>283</v>
      </c>
      <c r="E406" s="82"/>
      <c r="F406" s="84"/>
      <c r="G406" s="85"/>
      <c r="H406" s="22"/>
    </row>
    <row r="407" spans="1:8">
      <c r="A407" s="10">
        <v>12</v>
      </c>
      <c r="B407" s="13"/>
      <c r="C407" s="13"/>
      <c r="D407" s="7" t="s">
        <v>284</v>
      </c>
      <c r="E407" s="13"/>
      <c r="F407" s="13"/>
      <c r="G407" s="18"/>
      <c r="H407" s="80"/>
    </row>
    <row r="408" spans="1:8">
      <c r="A408" s="86" t="s">
        <v>285</v>
      </c>
      <c r="B408" s="82" t="s">
        <v>86</v>
      </c>
      <c r="C408" s="82" t="s">
        <v>286</v>
      </c>
      <c r="D408" s="91" t="s">
        <v>287</v>
      </c>
      <c r="E408" s="82" t="s">
        <v>26</v>
      </c>
      <c r="F408" s="82">
        <v>1</v>
      </c>
      <c r="G408" s="85"/>
      <c r="H408" s="85"/>
    </row>
    <row r="409" spans="1:8" ht="29.25">
      <c r="A409" s="86" t="s">
        <v>288</v>
      </c>
      <c r="B409" s="82" t="s">
        <v>86</v>
      </c>
      <c r="C409" s="82" t="s">
        <v>289</v>
      </c>
      <c r="D409" s="92" t="s">
        <v>290</v>
      </c>
      <c r="E409" s="82" t="s">
        <v>26</v>
      </c>
      <c r="F409" s="82">
        <v>1</v>
      </c>
      <c r="G409" s="85"/>
      <c r="H409" s="85"/>
    </row>
    <row r="410" spans="1:8" ht="29.25">
      <c r="A410" s="86" t="s">
        <v>291</v>
      </c>
      <c r="B410" s="82" t="s">
        <v>86</v>
      </c>
      <c r="C410" s="82" t="s">
        <v>292</v>
      </c>
      <c r="D410" s="92" t="s">
        <v>293</v>
      </c>
      <c r="E410" s="82" t="s">
        <v>26</v>
      </c>
      <c r="F410" s="84">
        <v>3</v>
      </c>
      <c r="G410" s="85"/>
      <c r="H410" s="85"/>
    </row>
    <row r="411" spans="1:8" ht="29.25">
      <c r="A411" s="86" t="s">
        <v>294</v>
      </c>
      <c r="B411" s="82" t="s">
        <v>86</v>
      </c>
      <c r="C411" s="82" t="s">
        <v>295</v>
      </c>
      <c r="D411" s="92" t="s">
        <v>562</v>
      </c>
      <c r="E411" s="82" t="s">
        <v>26</v>
      </c>
      <c r="F411" s="84">
        <v>4</v>
      </c>
      <c r="G411" s="85"/>
      <c r="H411" s="85"/>
    </row>
    <row r="412" spans="1:8" ht="29.25">
      <c r="A412" s="86" t="s">
        <v>297</v>
      </c>
      <c r="B412" s="82" t="s">
        <v>86</v>
      </c>
      <c r="C412" s="82" t="s">
        <v>298</v>
      </c>
      <c r="D412" s="92" t="s">
        <v>677</v>
      </c>
      <c r="E412" s="82" t="s">
        <v>23</v>
      </c>
      <c r="F412" s="84">
        <f>(0.9*0.4*2)</f>
        <v>0.72000000000000008</v>
      </c>
      <c r="G412" s="85"/>
      <c r="H412" s="85"/>
    </row>
    <row r="413" spans="1:8">
      <c r="A413" s="86" t="s">
        <v>299</v>
      </c>
      <c r="B413" s="82" t="s">
        <v>86</v>
      </c>
      <c r="C413" s="82" t="s">
        <v>300</v>
      </c>
      <c r="D413" s="91" t="s">
        <v>301</v>
      </c>
      <c r="E413" s="82" t="s">
        <v>26</v>
      </c>
      <c r="F413" s="84">
        <v>6</v>
      </c>
      <c r="G413" s="85"/>
      <c r="H413" s="85"/>
    </row>
    <row r="414" spans="1:8">
      <c r="A414" s="86" t="s">
        <v>302</v>
      </c>
      <c r="B414" s="82" t="s">
        <v>86</v>
      </c>
      <c r="C414" s="82" t="s">
        <v>303</v>
      </c>
      <c r="D414" s="91" t="s">
        <v>304</v>
      </c>
      <c r="E414" s="82" t="s">
        <v>26</v>
      </c>
      <c r="F414" s="84">
        <v>4</v>
      </c>
      <c r="G414" s="85"/>
      <c r="H414" s="85"/>
    </row>
    <row r="415" spans="1:8">
      <c r="A415" s="86" t="s">
        <v>305</v>
      </c>
      <c r="B415" s="82" t="s">
        <v>86</v>
      </c>
      <c r="C415" s="82" t="s">
        <v>306</v>
      </c>
      <c r="D415" s="91" t="s">
        <v>307</v>
      </c>
      <c r="E415" s="82" t="s">
        <v>23</v>
      </c>
      <c r="F415" s="84">
        <f>((2.2+1.7+1.2)*1)+(0.5*1)</f>
        <v>5.6000000000000005</v>
      </c>
      <c r="G415" s="85"/>
      <c r="H415" s="85"/>
    </row>
    <row r="416" spans="1:8">
      <c r="A416" s="86" t="s">
        <v>308</v>
      </c>
      <c r="B416" s="82" t="s">
        <v>86</v>
      </c>
      <c r="C416" s="82" t="s">
        <v>309</v>
      </c>
      <c r="D416" s="91" t="s">
        <v>310</v>
      </c>
      <c r="E416" s="82" t="s">
        <v>26</v>
      </c>
      <c r="F416" s="84">
        <v>4</v>
      </c>
      <c r="G416" s="85"/>
      <c r="H416" s="85"/>
    </row>
    <row r="417" spans="1:8" ht="43.5">
      <c r="A417" s="86" t="s">
        <v>311</v>
      </c>
      <c r="B417" s="82" t="s">
        <v>86</v>
      </c>
      <c r="C417" s="82" t="s">
        <v>312</v>
      </c>
      <c r="D417" s="92" t="s">
        <v>313</v>
      </c>
      <c r="E417" s="82" t="s">
        <v>26</v>
      </c>
      <c r="F417" s="84">
        <v>1</v>
      </c>
      <c r="G417" s="85"/>
      <c r="H417" s="85"/>
    </row>
    <row r="418" spans="1:8">
      <c r="A418" s="86" t="s">
        <v>314</v>
      </c>
      <c r="B418" s="82" t="s">
        <v>86</v>
      </c>
      <c r="C418" s="82" t="s">
        <v>315</v>
      </c>
      <c r="D418" s="91" t="s">
        <v>563</v>
      </c>
      <c r="E418" s="82" t="s">
        <v>26</v>
      </c>
      <c r="F418" s="84">
        <v>4</v>
      </c>
      <c r="G418" s="85"/>
      <c r="H418" s="85"/>
    </row>
    <row r="419" spans="1:8">
      <c r="A419" s="86" t="s">
        <v>317</v>
      </c>
      <c r="B419" s="82" t="s">
        <v>86</v>
      </c>
      <c r="C419" s="82" t="s">
        <v>318</v>
      </c>
      <c r="D419" s="91" t="s">
        <v>319</v>
      </c>
      <c r="E419" s="82" t="s">
        <v>26</v>
      </c>
      <c r="F419" s="84">
        <v>4</v>
      </c>
      <c r="G419" s="85"/>
      <c r="H419" s="85"/>
    </row>
    <row r="420" spans="1:8" ht="29.25">
      <c r="A420" s="86" t="s">
        <v>320</v>
      </c>
      <c r="B420" s="82" t="s">
        <v>86</v>
      </c>
      <c r="C420" s="82" t="s">
        <v>321</v>
      </c>
      <c r="D420" s="90" t="s">
        <v>564</v>
      </c>
      <c r="E420" s="82" t="s">
        <v>27</v>
      </c>
      <c r="F420" s="84">
        <v>0.9</v>
      </c>
      <c r="G420" s="85"/>
      <c r="H420" s="85"/>
    </row>
    <row r="421" spans="1:8" ht="29.25">
      <c r="A421" s="86" t="s">
        <v>323</v>
      </c>
      <c r="B421" s="82" t="s">
        <v>86</v>
      </c>
      <c r="C421" s="82" t="s">
        <v>321</v>
      </c>
      <c r="D421" s="90" t="s">
        <v>565</v>
      </c>
      <c r="E421" s="82" t="s">
        <v>27</v>
      </c>
      <c r="F421" s="84">
        <f>(0.8*4)</f>
        <v>3.2</v>
      </c>
      <c r="G421" s="85"/>
      <c r="H421" s="85"/>
    </row>
    <row r="422" spans="1:8">
      <c r="A422" s="86" t="s">
        <v>326</v>
      </c>
      <c r="B422" s="82" t="s">
        <v>86</v>
      </c>
      <c r="C422" s="82" t="s">
        <v>566</v>
      </c>
      <c r="D422" s="81" t="s">
        <v>567</v>
      </c>
      <c r="E422" s="82" t="s">
        <v>23</v>
      </c>
      <c r="F422" s="84">
        <f>ROUND((1.35*1.8*2)+(0.52*1.8*2)+(1.5*0.5*2),2)</f>
        <v>8.23</v>
      </c>
      <c r="G422" s="85"/>
      <c r="H422" s="85"/>
    </row>
    <row r="423" spans="1:8">
      <c r="A423" s="86" t="s">
        <v>329</v>
      </c>
      <c r="B423" s="82" t="s">
        <v>86</v>
      </c>
      <c r="C423" s="54" t="s">
        <v>324</v>
      </c>
      <c r="D423" s="91" t="s">
        <v>568</v>
      </c>
      <c r="E423" s="82" t="s">
        <v>26</v>
      </c>
      <c r="F423" s="84">
        <v>1</v>
      </c>
      <c r="G423" s="85"/>
      <c r="H423" s="85"/>
    </row>
    <row r="424" spans="1:8">
      <c r="A424" s="86" t="s">
        <v>332</v>
      </c>
      <c r="B424" s="82" t="s">
        <v>86</v>
      </c>
      <c r="C424" s="54" t="s">
        <v>327</v>
      </c>
      <c r="D424" s="91" t="s">
        <v>328</v>
      </c>
      <c r="E424" s="82" t="s">
        <v>26</v>
      </c>
      <c r="F424" s="84">
        <v>3</v>
      </c>
      <c r="G424" s="85"/>
      <c r="H424" s="85"/>
    </row>
    <row r="425" spans="1:8">
      <c r="A425" s="86" t="s">
        <v>334</v>
      </c>
      <c r="B425" s="82" t="s">
        <v>86</v>
      </c>
      <c r="C425" s="82" t="s">
        <v>569</v>
      </c>
      <c r="D425" s="81" t="s">
        <v>570</v>
      </c>
      <c r="E425" s="82" t="s">
        <v>26</v>
      </c>
      <c r="F425" s="84">
        <v>2</v>
      </c>
      <c r="G425" s="85"/>
      <c r="H425" s="85"/>
    </row>
    <row r="426" spans="1:8">
      <c r="A426" s="86" t="s">
        <v>337</v>
      </c>
      <c r="B426" s="82" t="s">
        <v>86</v>
      </c>
      <c r="C426" s="82" t="s">
        <v>330</v>
      </c>
      <c r="D426" s="81" t="s">
        <v>571</v>
      </c>
      <c r="E426" s="82" t="s">
        <v>23</v>
      </c>
      <c r="F426" s="84">
        <f>(0.8*3.9)</f>
        <v>3.12</v>
      </c>
      <c r="G426" s="85"/>
      <c r="H426" s="85"/>
    </row>
    <row r="427" spans="1:8">
      <c r="A427" s="86" t="s">
        <v>340</v>
      </c>
      <c r="B427" s="82" t="s">
        <v>86</v>
      </c>
      <c r="C427" s="82" t="s">
        <v>330</v>
      </c>
      <c r="D427" s="81" t="s">
        <v>572</v>
      </c>
      <c r="E427" s="82" t="s">
        <v>23</v>
      </c>
      <c r="F427" s="84">
        <f>(1.7*0.7)</f>
        <v>1.19</v>
      </c>
      <c r="G427" s="85"/>
      <c r="H427" s="85"/>
    </row>
    <row r="428" spans="1:8">
      <c r="A428" s="86" t="s">
        <v>343</v>
      </c>
      <c r="B428" s="82" t="s">
        <v>86</v>
      </c>
      <c r="C428" s="82" t="s">
        <v>330</v>
      </c>
      <c r="D428" s="81" t="s">
        <v>573</v>
      </c>
      <c r="E428" s="82" t="s">
        <v>23</v>
      </c>
      <c r="F428" s="84">
        <f>(1.7*0.7)+((0.7+0.2)*0.55/2)</f>
        <v>1.4375</v>
      </c>
      <c r="G428" s="85"/>
      <c r="H428" s="85"/>
    </row>
    <row r="429" spans="1:8" ht="29.25">
      <c r="A429" s="86" t="s">
        <v>346</v>
      </c>
      <c r="B429" s="82" t="s">
        <v>86</v>
      </c>
      <c r="C429" s="82" t="s">
        <v>335</v>
      </c>
      <c r="D429" s="92" t="s">
        <v>336</v>
      </c>
      <c r="E429" s="82" t="s">
        <v>26</v>
      </c>
      <c r="F429" s="84">
        <v>3</v>
      </c>
      <c r="G429" s="85"/>
      <c r="H429" s="85"/>
    </row>
    <row r="430" spans="1:8">
      <c r="A430" s="86" t="s">
        <v>349</v>
      </c>
      <c r="B430" s="82" t="s">
        <v>86</v>
      </c>
      <c r="C430" s="82" t="s">
        <v>574</v>
      </c>
      <c r="D430" s="91" t="s">
        <v>575</v>
      </c>
      <c r="E430" s="82" t="s">
        <v>26</v>
      </c>
      <c r="F430" s="84">
        <v>4</v>
      </c>
      <c r="G430" s="85"/>
      <c r="H430" s="85"/>
    </row>
    <row r="431" spans="1:8" ht="29.25">
      <c r="A431" s="86" t="s">
        <v>352</v>
      </c>
      <c r="B431" s="82" t="s">
        <v>86</v>
      </c>
      <c r="C431" s="82" t="s">
        <v>347</v>
      </c>
      <c r="D431" s="92" t="s">
        <v>348</v>
      </c>
      <c r="E431" s="82" t="s">
        <v>26</v>
      </c>
      <c r="F431" s="84">
        <v>4</v>
      </c>
      <c r="G431" s="85"/>
      <c r="H431" s="85"/>
    </row>
    <row r="432" spans="1:8">
      <c r="A432" s="86" t="s">
        <v>355</v>
      </c>
      <c r="B432" s="82" t="s">
        <v>86</v>
      </c>
      <c r="C432" s="82" t="s">
        <v>576</v>
      </c>
      <c r="D432" s="91" t="s">
        <v>577</v>
      </c>
      <c r="E432" s="82" t="s">
        <v>26</v>
      </c>
      <c r="F432" s="84">
        <v>1</v>
      </c>
      <c r="G432" s="85"/>
      <c r="H432" s="85"/>
    </row>
    <row r="433" spans="1:8">
      <c r="A433" s="86"/>
      <c r="B433" s="82"/>
      <c r="C433" s="82"/>
      <c r="D433" s="89" t="s">
        <v>364</v>
      </c>
      <c r="E433" s="82"/>
      <c r="F433" s="82"/>
      <c r="G433" s="85"/>
      <c r="H433" s="22"/>
    </row>
    <row r="434" spans="1:8">
      <c r="A434" s="10">
        <v>13</v>
      </c>
      <c r="B434" s="13"/>
      <c r="C434" s="13"/>
      <c r="D434" s="7" t="s">
        <v>1057</v>
      </c>
      <c r="E434" s="13"/>
      <c r="F434" s="13"/>
      <c r="G434" s="18"/>
      <c r="H434" s="80"/>
    </row>
    <row r="435" spans="1:8" ht="29.25">
      <c r="A435" s="86" t="s">
        <v>365</v>
      </c>
      <c r="B435" s="82" t="s">
        <v>86</v>
      </c>
      <c r="C435" s="54" t="s">
        <v>366</v>
      </c>
      <c r="D435" s="92" t="s">
        <v>367</v>
      </c>
      <c r="E435" s="82" t="s">
        <v>26</v>
      </c>
      <c r="F435" s="84">
        <v>8</v>
      </c>
      <c r="G435" s="85"/>
      <c r="H435" s="85"/>
    </row>
    <row r="436" spans="1:8" ht="29.25">
      <c r="A436" s="86" t="s">
        <v>368</v>
      </c>
      <c r="B436" s="82" t="s">
        <v>86</v>
      </c>
      <c r="C436" s="54" t="s">
        <v>369</v>
      </c>
      <c r="D436" s="92" t="s">
        <v>679</v>
      </c>
      <c r="E436" s="82" t="s">
        <v>26</v>
      </c>
      <c r="F436" s="84">
        <v>4</v>
      </c>
      <c r="G436" s="85"/>
      <c r="H436" s="85"/>
    </row>
    <row r="437" spans="1:8">
      <c r="A437" s="86" t="s">
        <v>370</v>
      </c>
      <c r="B437" s="82" t="s">
        <v>86</v>
      </c>
      <c r="C437" s="54" t="s">
        <v>371</v>
      </c>
      <c r="D437" s="92" t="s">
        <v>372</v>
      </c>
      <c r="E437" s="82" t="s">
        <v>26</v>
      </c>
      <c r="F437" s="84">
        <f>(F435*2)+F439</f>
        <v>21</v>
      </c>
      <c r="G437" s="85"/>
      <c r="H437" s="85"/>
    </row>
    <row r="438" spans="1:8">
      <c r="A438" s="86" t="s">
        <v>373</v>
      </c>
      <c r="B438" s="82" t="s">
        <v>86</v>
      </c>
      <c r="C438" s="54" t="s">
        <v>374</v>
      </c>
      <c r="D438" s="92" t="s">
        <v>375</v>
      </c>
      <c r="E438" s="82" t="s">
        <v>26</v>
      </c>
      <c r="F438" s="84">
        <f>F436*2</f>
        <v>8</v>
      </c>
      <c r="G438" s="85"/>
      <c r="H438" s="85"/>
    </row>
    <row r="439" spans="1:8">
      <c r="A439" s="86" t="s">
        <v>376</v>
      </c>
      <c r="B439" s="82" t="s">
        <v>86</v>
      </c>
      <c r="C439" s="54" t="s">
        <v>377</v>
      </c>
      <c r="D439" s="92" t="s">
        <v>378</v>
      </c>
      <c r="E439" s="82" t="s">
        <v>26</v>
      </c>
      <c r="F439" s="84">
        <v>5</v>
      </c>
      <c r="G439" s="85"/>
      <c r="H439" s="85"/>
    </row>
    <row r="440" spans="1:8" ht="29.25">
      <c r="A440" s="86" t="s">
        <v>379</v>
      </c>
      <c r="B440" s="82" t="s">
        <v>86</v>
      </c>
      <c r="C440" s="54" t="s">
        <v>380</v>
      </c>
      <c r="D440" s="92" t="s">
        <v>381</v>
      </c>
      <c r="E440" s="82" t="s">
        <v>26</v>
      </c>
      <c r="F440" s="84">
        <v>1</v>
      </c>
      <c r="G440" s="85"/>
      <c r="H440" s="85"/>
    </row>
    <row r="441" spans="1:8">
      <c r="A441" s="86" t="s">
        <v>382</v>
      </c>
      <c r="B441" s="82" t="s">
        <v>86</v>
      </c>
      <c r="C441" s="54" t="s">
        <v>383</v>
      </c>
      <c r="D441" s="92" t="s">
        <v>384</v>
      </c>
      <c r="E441" s="82" t="s">
        <v>26</v>
      </c>
      <c r="F441" s="84">
        <v>2</v>
      </c>
      <c r="G441" s="85"/>
      <c r="H441" s="85"/>
    </row>
    <row r="442" spans="1:8">
      <c r="A442" s="86" t="s">
        <v>385</v>
      </c>
      <c r="B442" s="82" t="s">
        <v>86</v>
      </c>
      <c r="C442" s="54" t="s">
        <v>386</v>
      </c>
      <c r="D442" s="92" t="s">
        <v>387</v>
      </c>
      <c r="E442" s="82" t="s">
        <v>26</v>
      </c>
      <c r="F442" s="84">
        <v>12</v>
      </c>
      <c r="G442" s="85"/>
      <c r="H442" s="85"/>
    </row>
    <row r="443" spans="1:8">
      <c r="A443" s="86" t="s">
        <v>388</v>
      </c>
      <c r="B443" s="82" t="s">
        <v>86</v>
      </c>
      <c r="C443" s="54" t="s">
        <v>389</v>
      </c>
      <c r="D443" s="92" t="s">
        <v>390</v>
      </c>
      <c r="E443" s="82" t="s">
        <v>27</v>
      </c>
      <c r="F443" s="84">
        <v>176.91</v>
      </c>
      <c r="G443" s="85"/>
      <c r="H443" s="85"/>
    </row>
    <row r="444" spans="1:8">
      <c r="A444" s="86" t="s">
        <v>391</v>
      </c>
      <c r="B444" s="82" t="s">
        <v>86</v>
      </c>
      <c r="C444" s="54" t="s">
        <v>392</v>
      </c>
      <c r="D444" s="92" t="s">
        <v>393</v>
      </c>
      <c r="E444" s="82" t="s">
        <v>27</v>
      </c>
      <c r="F444" s="84">
        <v>22.98</v>
      </c>
      <c r="G444" s="85"/>
      <c r="H444" s="85"/>
    </row>
    <row r="445" spans="1:8">
      <c r="A445" s="86" t="s">
        <v>394</v>
      </c>
      <c r="B445" s="82" t="s">
        <v>86</v>
      </c>
      <c r="C445" s="54" t="s">
        <v>115</v>
      </c>
      <c r="D445" s="92" t="s">
        <v>116</v>
      </c>
      <c r="E445" s="82" t="s">
        <v>27</v>
      </c>
      <c r="F445" s="84">
        <v>122.83</v>
      </c>
      <c r="G445" s="85"/>
      <c r="H445" s="85"/>
    </row>
    <row r="446" spans="1:8">
      <c r="A446" s="86" t="s">
        <v>395</v>
      </c>
      <c r="B446" s="82" t="s">
        <v>86</v>
      </c>
      <c r="C446" s="54" t="s">
        <v>396</v>
      </c>
      <c r="D446" s="92" t="s">
        <v>397</v>
      </c>
      <c r="E446" s="82" t="s">
        <v>27</v>
      </c>
      <c r="F446" s="84">
        <v>1185.6600000000001</v>
      </c>
      <c r="G446" s="85"/>
      <c r="H446" s="85"/>
    </row>
    <row r="447" spans="1:8">
      <c r="A447" s="86" t="s">
        <v>398</v>
      </c>
      <c r="B447" s="82" t="s">
        <v>86</v>
      </c>
      <c r="C447" s="54" t="s">
        <v>399</v>
      </c>
      <c r="D447" s="92" t="s">
        <v>400</v>
      </c>
      <c r="E447" s="82" t="s">
        <v>27</v>
      </c>
      <c r="F447" s="84">
        <v>19.97</v>
      </c>
      <c r="G447" s="85"/>
      <c r="H447" s="85"/>
    </row>
    <row r="448" spans="1:8" ht="29.25">
      <c r="A448" s="86" t="s">
        <v>401</v>
      </c>
      <c r="B448" s="82" t="s">
        <v>86</v>
      </c>
      <c r="C448" s="54" t="s">
        <v>402</v>
      </c>
      <c r="D448" s="92" t="s">
        <v>403</v>
      </c>
      <c r="E448" s="82" t="s">
        <v>27</v>
      </c>
      <c r="F448" s="84">
        <v>13.43</v>
      </c>
      <c r="G448" s="85"/>
      <c r="H448" s="85"/>
    </row>
    <row r="449" spans="1:8" ht="29.25">
      <c r="A449" s="86" t="s">
        <v>404</v>
      </c>
      <c r="B449" s="82" t="s">
        <v>86</v>
      </c>
      <c r="C449" s="54" t="s">
        <v>405</v>
      </c>
      <c r="D449" s="92" t="s">
        <v>406</v>
      </c>
      <c r="E449" s="82" t="s">
        <v>27</v>
      </c>
      <c r="F449" s="84">
        <v>40.22</v>
      </c>
      <c r="G449" s="85"/>
      <c r="H449" s="85"/>
    </row>
    <row r="450" spans="1:8">
      <c r="A450" s="86" t="s">
        <v>407</v>
      </c>
      <c r="B450" s="82" t="s">
        <v>86</v>
      </c>
      <c r="C450" s="54" t="s">
        <v>408</v>
      </c>
      <c r="D450" s="92" t="s">
        <v>409</v>
      </c>
      <c r="E450" s="82" t="s">
        <v>26</v>
      </c>
      <c r="F450" s="84">
        <f>F452+F453+F454+F455</f>
        <v>24</v>
      </c>
      <c r="G450" s="85"/>
      <c r="H450" s="85"/>
    </row>
    <row r="451" spans="1:8">
      <c r="A451" s="86" t="s">
        <v>410</v>
      </c>
      <c r="B451" s="82" t="s">
        <v>86</v>
      </c>
      <c r="C451" s="54" t="s">
        <v>411</v>
      </c>
      <c r="D451" s="92" t="s">
        <v>412</v>
      </c>
      <c r="E451" s="82" t="s">
        <v>26</v>
      </c>
      <c r="F451" s="84">
        <v>8</v>
      </c>
      <c r="G451" s="85"/>
      <c r="H451" s="85"/>
    </row>
    <row r="452" spans="1:8">
      <c r="A452" s="86" t="s">
        <v>413</v>
      </c>
      <c r="B452" s="82" t="s">
        <v>86</v>
      </c>
      <c r="C452" s="54" t="s">
        <v>414</v>
      </c>
      <c r="D452" s="92" t="s">
        <v>415</v>
      </c>
      <c r="E452" s="82" t="s">
        <v>416</v>
      </c>
      <c r="F452" s="84">
        <v>2</v>
      </c>
      <c r="G452" s="85"/>
      <c r="H452" s="85"/>
    </row>
    <row r="453" spans="1:8">
      <c r="A453" s="86" t="s">
        <v>417</v>
      </c>
      <c r="B453" s="82" t="s">
        <v>86</v>
      </c>
      <c r="C453" s="54" t="s">
        <v>421</v>
      </c>
      <c r="D453" s="92" t="s">
        <v>422</v>
      </c>
      <c r="E453" s="82" t="s">
        <v>416</v>
      </c>
      <c r="F453" s="84">
        <v>7</v>
      </c>
      <c r="G453" s="85"/>
      <c r="H453" s="85"/>
    </row>
    <row r="454" spans="1:8">
      <c r="A454" s="86" t="s">
        <v>420</v>
      </c>
      <c r="B454" s="82" t="s">
        <v>86</v>
      </c>
      <c r="C454" s="54" t="s">
        <v>424</v>
      </c>
      <c r="D454" s="92" t="s">
        <v>425</v>
      </c>
      <c r="E454" s="82" t="s">
        <v>416</v>
      </c>
      <c r="F454" s="84">
        <v>13</v>
      </c>
      <c r="G454" s="85"/>
      <c r="H454" s="85"/>
    </row>
    <row r="455" spans="1:8">
      <c r="A455" s="86" t="s">
        <v>423</v>
      </c>
      <c r="B455" s="82" t="s">
        <v>86</v>
      </c>
      <c r="C455" s="54" t="s">
        <v>427</v>
      </c>
      <c r="D455" s="92" t="s">
        <v>428</v>
      </c>
      <c r="E455" s="82" t="s">
        <v>416</v>
      </c>
      <c r="F455" s="84">
        <v>2</v>
      </c>
      <c r="G455" s="85"/>
      <c r="H455" s="85"/>
    </row>
    <row r="456" spans="1:8">
      <c r="A456" s="86" t="s">
        <v>426</v>
      </c>
      <c r="B456" s="82" t="s">
        <v>86</v>
      </c>
      <c r="C456" s="54" t="s">
        <v>430</v>
      </c>
      <c r="D456" s="92" t="s">
        <v>431</v>
      </c>
      <c r="E456" s="82" t="s">
        <v>148</v>
      </c>
      <c r="F456" s="84">
        <f>(0.403*3)</f>
        <v>1.2090000000000001</v>
      </c>
      <c r="G456" s="85"/>
      <c r="H456" s="85"/>
    </row>
    <row r="457" spans="1:8">
      <c r="A457" s="86" t="s">
        <v>429</v>
      </c>
      <c r="B457" s="82" t="s">
        <v>86</v>
      </c>
      <c r="C457" s="54" t="s">
        <v>433</v>
      </c>
      <c r="D457" s="92" t="s">
        <v>434</v>
      </c>
      <c r="E457" s="82" t="s">
        <v>27</v>
      </c>
      <c r="F457" s="84">
        <v>15</v>
      </c>
      <c r="G457" s="85"/>
      <c r="H457" s="85"/>
    </row>
    <row r="458" spans="1:8">
      <c r="A458" s="86"/>
      <c r="B458" s="82"/>
      <c r="C458" s="54"/>
      <c r="D458" s="89" t="s">
        <v>435</v>
      </c>
      <c r="E458" s="82"/>
      <c r="F458" s="82"/>
      <c r="G458" s="85"/>
      <c r="H458" s="22"/>
    </row>
    <row r="459" spans="1:8">
      <c r="A459" s="10">
        <v>14</v>
      </c>
      <c r="B459" s="13"/>
      <c r="C459" s="13"/>
      <c r="D459" s="7" t="s">
        <v>1058</v>
      </c>
      <c r="E459" s="13"/>
      <c r="F459" s="13"/>
      <c r="G459" s="18"/>
      <c r="H459" s="80"/>
    </row>
    <row r="460" spans="1:8">
      <c r="A460" s="86" t="s">
        <v>436</v>
      </c>
      <c r="B460" s="82" t="s">
        <v>86</v>
      </c>
      <c r="C460" s="82" t="s">
        <v>437</v>
      </c>
      <c r="D460" s="91" t="s">
        <v>438</v>
      </c>
      <c r="E460" s="82" t="s">
        <v>26</v>
      </c>
      <c r="F460" s="82">
        <v>1</v>
      </c>
      <c r="G460" s="85"/>
      <c r="H460" s="85"/>
    </row>
    <row r="461" spans="1:8" ht="29.25">
      <c r="A461" s="86" t="s">
        <v>439</v>
      </c>
      <c r="B461" s="82" t="s">
        <v>86</v>
      </c>
      <c r="C461" s="82" t="s">
        <v>578</v>
      </c>
      <c r="D461" s="92" t="s">
        <v>579</v>
      </c>
      <c r="E461" s="82" t="s">
        <v>26</v>
      </c>
      <c r="F461" s="82">
        <v>1</v>
      </c>
      <c r="G461" s="85"/>
      <c r="H461" s="85"/>
    </row>
    <row r="462" spans="1:8">
      <c r="A462" s="86" t="s">
        <v>442</v>
      </c>
      <c r="B462" s="82" t="s">
        <v>86</v>
      </c>
      <c r="C462" s="82" t="s">
        <v>580</v>
      </c>
      <c r="D462" s="91" t="s">
        <v>581</v>
      </c>
      <c r="E462" s="82" t="s">
        <v>27</v>
      </c>
      <c r="F462" s="84">
        <v>4</v>
      </c>
      <c r="G462" s="85"/>
      <c r="H462" s="85"/>
    </row>
    <row r="463" spans="1:8">
      <c r="A463" s="86" t="s">
        <v>445</v>
      </c>
      <c r="B463" s="263" t="s">
        <v>86</v>
      </c>
      <c r="C463" s="82" t="s">
        <v>1247</v>
      </c>
      <c r="D463" s="91" t="s">
        <v>1248</v>
      </c>
      <c r="E463" s="263" t="s">
        <v>26</v>
      </c>
      <c r="F463" s="84">
        <v>1</v>
      </c>
      <c r="G463" s="85"/>
      <c r="H463" s="85"/>
    </row>
    <row r="464" spans="1:8" ht="29.25">
      <c r="A464" s="86" t="s">
        <v>447</v>
      </c>
      <c r="B464" s="82" t="s">
        <v>86</v>
      </c>
      <c r="C464" s="82" t="s">
        <v>582</v>
      </c>
      <c r="D464" s="92" t="s">
        <v>583</v>
      </c>
      <c r="E464" s="82" t="s">
        <v>26</v>
      </c>
      <c r="F464" s="84">
        <v>1</v>
      </c>
      <c r="G464" s="85"/>
      <c r="H464" s="85"/>
    </row>
    <row r="465" spans="1:8">
      <c r="A465" s="86" t="s">
        <v>450</v>
      </c>
      <c r="B465" s="82" t="s">
        <v>86</v>
      </c>
      <c r="C465" s="82" t="s">
        <v>440</v>
      </c>
      <c r="D465" s="91" t="s">
        <v>441</v>
      </c>
      <c r="E465" s="82" t="s">
        <v>27</v>
      </c>
      <c r="F465" s="84">
        <f>(4.4+8+9+6+3+3.5+4+4+3.5+2+2)</f>
        <v>49.4</v>
      </c>
      <c r="G465" s="85"/>
      <c r="H465" s="85"/>
    </row>
    <row r="466" spans="1:8">
      <c r="A466" s="86" t="s">
        <v>453</v>
      </c>
      <c r="B466" s="82" t="s">
        <v>86</v>
      </c>
      <c r="C466" s="82" t="s">
        <v>443</v>
      </c>
      <c r="D466" s="91" t="s">
        <v>444</v>
      </c>
      <c r="E466" s="82" t="s">
        <v>27</v>
      </c>
      <c r="F466" s="84">
        <f>(6+4.4)</f>
        <v>10.4</v>
      </c>
      <c r="G466" s="85"/>
      <c r="H466" s="85"/>
    </row>
    <row r="467" spans="1:8" ht="29.25">
      <c r="A467" s="86" t="s">
        <v>456</v>
      </c>
      <c r="B467" s="82" t="s">
        <v>86</v>
      </c>
      <c r="C467" s="82" t="s">
        <v>446</v>
      </c>
      <c r="D467" s="92" t="s">
        <v>678</v>
      </c>
      <c r="E467" s="82" t="s">
        <v>27</v>
      </c>
      <c r="F467" s="84">
        <f>(1.5+1.5+2.5+1.5+1.5)</f>
        <v>8.5</v>
      </c>
      <c r="G467" s="85"/>
      <c r="H467" s="85"/>
    </row>
    <row r="468" spans="1:8" ht="29.25">
      <c r="A468" s="86" t="s">
        <v>459</v>
      </c>
      <c r="B468" s="82" t="s">
        <v>86</v>
      </c>
      <c r="C468" s="82" t="s">
        <v>448</v>
      </c>
      <c r="D468" s="92" t="s">
        <v>449</v>
      </c>
      <c r="E468" s="82" t="s">
        <v>27</v>
      </c>
      <c r="F468" s="84">
        <f>(1.5+2.5+3+4.5+4.2+5.2+7.6+7.6+4.3+5.3+3)</f>
        <v>48.699999999999996</v>
      </c>
      <c r="G468" s="85"/>
      <c r="H468" s="85"/>
    </row>
    <row r="469" spans="1:8">
      <c r="A469" s="86" t="s">
        <v>462</v>
      </c>
      <c r="B469" s="82" t="s">
        <v>86</v>
      </c>
      <c r="C469" s="82" t="s">
        <v>451</v>
      </c>
      <c r="D469" s="91" t="s">
        <v>452</v>
      </c>
      <c r="E469" s="82" t="s">
        <v>26</v>
      </c>
      <c r="F469" s="84">
        <v>1</v>
      </c>
      <c r="G469" s="85"/>
      <c r="H469" s="85"/>
    </row>
    <row r="470" spans="1:8">
      <c r="A470" s="86" t="s">
        <v>465</v>
      </c>
      <c r="B470" s="82" t="s">
        <v>86</v>
      </c>
      <c r="C470" s="82" t="s">
        <v>454</v>
      </c>
      <c r="D470" s="91" t="s">
        <v>455</v>
      </c>
      <c r="E470" s="82" t="s">
        <v>26</v>
      </c>
      <c r="F470" s="84">
        <v>2</v>
      </c>
      <c r="G470" s="85"/>
      <c r="H470" s="85"/>
    </row>
    <row r="471" spans="1:8">
      <c r="A471" s="86" t="s">
        <v>468</v>
      </c>
      <c r="B471" s="82" t="s">
        <v>86</v>
      </c>
      <c r="C471" s="82" t="s">
        <v>457</v>
      </c>
      <c r="D471" s="91" t="s">
        <v>458</v>
      </c>
      <c r="E471" s="82" t="s">
        <v>26</v>
      </c>
      <c r="F471" s="84">
        <v>4</v>
      </c>
      <c r="G471" s="85"/>
      <c r="H471" s="85"/>
    </row>
    <row r="472" spans="1:8">
      <c r="A472" s="86" t="s">
        <v>471</v>
      </c>
      <c r="B472" s="82" t="s">
        <v>86</v>
      </c>
      <c r="C472" s="82" t="s">
        <v>463</v>
      </c>
      <c r="D472" s="91" t="s">
        <v>464</v>
      </c>
      <c r="E472" s="82" t="s">
        <v>26</v>
      </c>
      <c r="F472" s="84">
        <v>1</v>
      </c>
      <c r="G472" s="85"/>
      <c r="H472" s="85"/>
    </row>
    <row r="473" spans="1:8" ht="29.25">
      <c r="A473" s="86" t="s">
        <v>474</v>
      </c>
      <c r="B473" s="82" t="s">
        <v>86</v>
      </c>
      <c r="C473" s="82" t="s">
        <v>466</v>
      </c>
      <c r="D473" s="92" t="s">
        <v>467</v>
      </c>
      <c r="E473" s="82" t="s">
        <v>26</v>
      </c>
      <c r="F473" s="84">
        <v>3</v>
      </c>
      <c r="G473" s="85"/>
      <c r="H473" s="85"/>
    </row>
    <row r="474" spans="1:8" ht="29.25">
      <c r="A474" s="86" t="s">
        <v>477</v>
      </c>
      <c r="B474" s="82" t="s">
        <v>86</v>
      </c>
      <c r="C474" s="82" t="s">
        <v>469</v>
      </c>
      <c r="D474" s="92" t="s">
        <v>470</v>
      </c>
      <c r="E474" s="82" t="s">
        <v>26</v>
      </c>
      <c r="F474" s="84">
        <v>1</v>
      </c>
      <c r="G474" s="85"/>
      <c r="H474" s="85"/>
    </row>
    <row r="475" spans="1:8" ht="29.25">
      <c r="A475" s="86" t="s">
        <v>480</v>
      </c>
      <c r="B475" s="82" t="s">
        <v>86</v>
      </c>
      <c r="C475" s="82" t="s">
        <v>472</v>
      </c>
      <c r="D475" s="92" t="s">
        <v>473</v>
      </c>
      <c r="E475" s="82" t="s">
        <v>26</v>
      </c>
      <c r="F475" s="84">
        <v>1</v>
      </c>
      <c r="G475" s="85"/>
      <c r="H475" s="85"/>
    </row>
    <row r="476" spans="1:8">
      <c r="A476" s="86" t="s">
        <v>584</v>
      </c>
      <c r="B476" s="82" t="s">
        <v>86</v>
      </c>
      <c r="C476" s="82" t="s">
        <v>475</v>
      </c>
      <c r="D476" s="91" t="s">
        <v>476</v>
      </c>
      <c r="E476" s="82" t="s">
        <v>26</v>
      </c>
      <c r="F476" s="84">
        <v>1</v>
      </c>
      <c r="G476" s="85"/>
      <c r="H476" s="85"/>
    </row>
    <row r="477" spans="1:8">
      <c r="A477" s="86" t="s">
        <v>585</v>
      </c>
      <c r="B477" s="82" t="s">
        <v>86</v>
      </c>
      <c r="C477" s="82" t="s">
        <v>478</v>
      </c>
      <c r="D477" s="91" t="s">
        <v>479</v>
      </c>
      <c r="E477" s="82" t="s">
        <v>26</v>
      </c>
      <c r="F477" s="84">
        <v>2</v>
      </c>
      <c r="G477" s="85"/>
      <c r="H477" s="85"/>
    </row>
    <row r="478" spans="1:8">
      <c r="A478" s="86" t="s">
        <v>1249</v>
      </c>
      <c r="B478" s="82" t="s">
        <v>86</v>
      </c>
      <c r="C478" s="82" t="s">
        <v>481</v>
      </c>
      <c r="D478" s="91" t="s">
        <v>482</v>
      </c>
      <c r="E478" s="82" t="s">
        <v>26</v>
      </c>
      <c r="F478" s="84">
        <v>1</v>
      </c>
      <c r="G478" s="85"/>
      <c r="H478" s="85"/>
    </row>
    <row r="479" spans="1:8">
      <c r="A479" s="86"/>
      <c r="B479" s="82"/>
      <c r="C479" s="82"/>
      <c r="D479" s="89" t="s">
        <v>483</v>
      </c>
      <c r="E479" s="82"/>
      <c r="F479" s="84"/>
      <c r="G479" s="85"/>
      <c r="H479" s="22"/>
    </row>
    <row r="480" spans="1:8">
      <c r="A480" s="10">
        <v>15</v>
      </c>
      <c r="B480" s="13"/>
      <c r="C480" s="13"/>
      <c r="D480" s="7" t="s">
        <v>484</v>
      </c>
      <c r="E480" s="13"/>
      <c r="F480" s="13"/>
      <c r="G480" s="18"/>
      <c r="H480" s="80"/>
    </row>
    <row r="481" spans="1:8">
      <c r="A481" s="93" t="s">
        <v>485</v>
      </c>
      <c r="B481" s="82" t="s">
        <v>86</v>
      </c>
      <c r="C481" s="82" t="s">
        <v>486</v>
      </c>
      <c r="D481" s="91" t="s">
        <v>487</v>
      </c>
      <c r="E481" s="82" t="s">
        <v>26</v>
      </c>
      <c r="F481" s="82">
        <v>1</v>
      </c>
      <c r="G481" s="85"/>
      <c r="H481" s="85"/>
    </row>
    <row r="482" spans="1:8">
      <c r="A482" s="93" t="s">
        <v>488</v>
      </c>
      <c r="B482" s="82" t="s">
        <v>86</v>
      </c>
      <c r="C482" s="82" t="s">
        <v>489</v>
      </c>
      <c r="D482" s="91" t="s">
        <v>490</v>
      </c>
      <c r="E482" s="82" t="s">
        <v>26</v>
      </c>
      <c r="F482" s="82">
        <v>1</v>
      </c>
      <c r="G482" s="85"/>
      <c r="H482" s="85"/>
    </row>
    <row r="483" spans="1:8" ht="29.25">
      <c r="A483" s="93" t="s">
        <v>491</v>
      </c>
      <c r="B483" s="82" t="s">
        <v>86</v>
      </c>
      <c r="C483" s="153" t="s">
        <v>492</v>
      </c>
      <c r="D483" s="92" t="s">
        <v>493</v>
      </c>
      <c r="E483" s="82" t="s">
        <v>26</v>
      </c>
      <c r="F483" s="82">
        <v>1</v>
      </c>
      <c r="G483" s="85"/>
      <c r="H483" s="85"/>
    </row>
    <row r="484" spans="1:8" ht="29.25">
      <c r="A484" s="93" t="s">
        <v>494</v>
      </c>
      <c r="B484" s="82" t="s">
        <v>86</v>
      </c>
      <c r="C484" s="82" t="s">
        <v>586</v>
      </c>
      <c r="D484" s="92" t="s">
        <v>587</v>
      </c>
      <c r="E484" s="82" t="s">
        <v>26</v>
      </c>
      <c r="F484" s="82">
        <v>4</v>
      </c>
      <c r="G484" s="85"/>
      <c r="H484" s="85"/>
    </row>
    <row r="485" spans="1:8">
      <c r="A485" s="93" t="s">
        <v>497</v>
      </c>
      <c r="B485" s="82" t="s">
        <v>86</v>
      </c>
      <c r="C485" s="82" t="s">
        <v>495</v>
      </c>
      <c r="D485" s="91" t="s">
        <v>496</v>
      </c>
      <c r="E485" s="82" t="s">
        <v>26</v>
      </c>
      <c r="F485" s="82">
        <v>2</v>
      </c>
      <c r="G485" s="85"/>
      <c r="H485" s="85"/>
    </row>
    <row r="486" spans="1:8" ht="29.25">
      <c r="A486" s="93" t="s">
        <v>588</v>
      </c>
      <c r="B486" s="82" t="s">
        <v>86</v>
      </c>
      <c r="C486" s="82" t="s">
        <v>498</v>
      </c>
      <c r="D486" s="92" t="s">
        <v>499</v>
      </c>
      <c r="E486" s="82" t="s">
        <v>23</v>
      </c>
      <c r="F486" s="84">
        <f>(4*0.25)</f>
        <v>1</v>
      </c>
      <c r="G486" s="85"/>
      <c r="H486" s="85"/>
    </row>
    <row r="487" spans="1:8" ht="29.25">
      <c r="A487" s="93" t="s">
        <v>589</v>
      </c>
      <c r="B487" s="82" t="s">
        <v>86</v>
      </c>
      <c r="C487" s="82" t="s">
        <v>498</v>
      </c>
      <c r="D487" s="92" t="s">
        <v>499</v>
      </c>
      <c r="E487" s="82" t="s">
        <v>23</v>
      </c>
      <c r="F487" s="84">
        <f>(5*0.25)</f>
        <v>1.25</v>
      </c>
      <c r="G487" s="85"/>
      <c r="H487" s="85"/>
    </row>
    <row r="488" spans="1:8">
      <c r="A488" s="93"/>
      <c r="B488" s="82"/>
      <c r="C488" s="82"/>
      <c r="D488" s="32" t="s">
        <v>500</v>
      </c>
      <c r="E488" s="82"/>
      <c r="F488" s="84"/>
      <c r="G488" s="85"/>
      <c r="H488" s="22"/>
    </row>
    <row r="489" spans="1:8">
      <c r="A489" s="10">
        <v>16</v>
      </c>
      <c r="B489" s="13"/>
      <c r="C489" s="13"/>
      <c r="D489" s="7" t="s">
        <v>501</v>
      </c>
      <c r="E489" s="13"/>
      <c r="F489" s="13"/>
      <c r="G489" s="18"/>
      <c r="H489" s="80"/>
    </row>
    <row r="490" spans="1:8">
      <c r="A490" s="86" t="s">
        <v>502</v>
      </c>
      <c r="B490" s="298" t="s">
        <v>86</v>
      </c>
      <c r="C490" s="82" t="s">
        <v>503</v>
      </c>
      <c r="D490" s="81" t="s">
        <v>504</v>
      </c>
      <c r="E490" s="82" t="s">
        <v>26</v>
      </c>
      <c r="F490" s="82">
        <v>1</v>
      </c>
      <c r="G490" s="85"/>
      <c r="H490" s="85"/>
    </row>
    <row r="491" spans="1:8">
      <c r="A491" s="86"/>
      <c r="B491" s="82"/>
      <c r="C491" s="82"/>
      <c r="D491" s="31" t="s">
        <v>508</v>
      </c>
      <c r="E491" s="82"/>
      <c r="F491" s="82"/>
      <c r="G491" s="85"/>
      <c r="H491" s="22"/>
    </row>
    <row r="492" spans="1:8">
      <c r="A492" s="10">
        <v>17</v>
      </c>
      <c r="B492" s="13"/>
      <c r="C492" s="13"/>
      <c r="D492" s="7" t="s">
        <v>22</v>
      </c>
      <c r="E492" s="13"/>
      <c r="F492" s="13"/>
      <c r="G492" s="18"/>
      <c r="H492" s="80"/>
    </row>
    <row r="493" spans="1:8">
      <c r="A493" s="86" t="s">
        <v>509</v>
      </c>
      <c r="B493" s="298" t="s">
        <v>86</v>
      </c>
      <c r="C493" s="82" t="s">
        <v>28</v>
      </c>
      <c r="D493" s="81" t="s">
        <v>510</v>
      </c>
      <c r="E493" s="82" t="s">
        <v>23</v>
      </c>
      <c r="F493" s="84">
        <v>129.29</v>
      </c>
      <c r="G493" s="85"/>
      <c r="H493" s="85"/>
    </row>
    <row r="494" spans="1:8">
      <c r="A494" s="86"/>
      <c r="B494" s="82"/>
      <c r="C494" s="82"/>
      <c r="D494" s="31" t="s">
        <v>511</v>
      </c>
      <c r="E494" s="82"/>
      <c r="F494" s="84"/>
      <c r="G494" s="85"/>
      <c r="H494" s="22"/>
    </row>
    <row r="495" spans="1:8" ht="9" customHeight="1">
      <c r="A495" s="86"/>
      <c r="B495" s="86"/>
      <c r="C495" s="86"/>
      <c r="D495" s="86"/>
      <c r="E495" s="86"/>
      <c r="F495" s="86"/>
      <c r="G495" s="86"/>
      <c r="H495" s="86"/>
    </row>
    <row r="496" spans="1:8">
      <c r="A496" s="78"/>
      <c r="B496" s="94"/>
      <c r="C496" s="94"/>
      <c r="D496" s="102" t="s">
        <v>652</v>
      </c>
      <c r="E496" s="79"/>
      <c r="F496" s="94"/>
      <c r="G496" s="79"/>
      <c r="H496" s="18"/>
    </row>
    <row r="497" spans="1:8" ht="9" customHeight="1">
      <c r="A497" s="1"/>
      <c r="B497" s="1"/>
      <c r="C497" s="1"/>
      <c r="D497" s="1"/>
      <c r="E497" s="1"/>
      <c r="F497" s="1"/>
      <c r="G497" s="1"/>
      <c r="H497" s="1"/>
    </row>
    <row r="498" spans="1:8" ht="15.75">
      <c r="A498" s="106" t="s">
        <v>674</v>
      </c>
      <c r="B498" s="7"/>
      <c r="C498" s="7"/>
      <c r="D498" s="97" t="s">
        <v>681</v>
      </c>
      <c r="E498" s="7"/>
      <c r="F498" s="7"/>
      <c r="G498" s="7"/>
      <c r="H498" s="7"/>
    </row>
    <row r="499" spans="1:8" ht="9" customHeight="1">
      <c r="A499" s="1"/>
      <c r="B499" s="1"/>
      <c r="C499" s="1"/>
      <c r="D499" s="1"/>
      <c r="E499" s="1"/>
      <c r="F499" s="1"/>
      <c r="G499" s="1"/>
      <c r="H499" s="1"/>
    </row>
    <row r="500" spans="1:8">
      <c r="A500" s="10">
        <v>1</v>
      </c>
      <c r="B500" s="79"/>
      <c r="C500" s="79"/>
      <c r="D500" s="10" t="s">
        <v>13</v>
      </c>
      <c r="E500" s="79"/>
      <c r="F500" s="79"/>
      <c r="G500" s="80"/>
      <c r="H500" s="80"/>
    </row>
    <row r="501" spans="1:8">
      <c r="A501" s="81" t="s">
        <v>9</v>
      </c>
      <c r="B501" s="82" t="s">
        <v>86</v>
      </c>
      <c r="C501" s="82" t="s">
        <v>513</v>
      </c>
      <c r="D501" s="86" t="s">
        <v>514</v>
      </c>
      <c r="E501" s="82" t="s">
        <v>25</v>
      </c>
      <c r="F501" s="84">
        <f>(((2.4+0.6)*5.2/2)*4.76)</f>
        <v>37.128</v>
      </c>
      <c r="G501" s="85"/>
      <c r="H501" s="85"/>
    </row>
    <row r="502" spans="1:8">
      <c r="A502" s="81" t="s">
        <v>10</v>
      </c>
      <c r="B502" s="82" t="s">
        <v>86</v>
      </c>
      <c r="C502" s="82" t="s">
        <v>1037</v>
      </c>
      <c r="D502" s="83" t="s">
        <v>1048</v>
      </c>
      <c r="E502" s="82" t="s">
        <v>25</v>
      </c>
      <c r="F502" s="84">
        <f>(92.12*0.3)</f>
        <v>27.635999999999999</v>
      </c>
      <c r="G502" s="85"/>
      <c r="H502" s="85"/>
    </row>
    <row r="503" spans="1:8">
      <c r="A503" s="81" t="s">
        <v>11</v>
      </c>
      <c r="B503" s="82" t="s">
        <v>86</v>
      </c>
      <c r="C503" s="82" t="s">
        <v>133</v>
      </c>
      <c r="D503" s="86" t="s">
        <v>134</v>
      </c>
      <c r="E503" s="82" t="s">
        <v>23</v>
      </c>
      <c r="F503" s="84">
        <f>70.25+21.87</f>
        <v>92.12</v>
      </c>
      <c r="G503" s="85"/>
      <c r="H503" s="85"/>
    </row>
    <row r="504" spans="1:8">
      <c r="A504" s="81" t="s">
        <v>12</v>
      </c>
      <c r="B504" s="82" t="s">
        <v>86</v>
      </c>
      <c r="C504" s="82" t="s">
        <v>90</v>
      </c>
      <c r="D504" s="86" t="s">
        <v>91</v>
      </c>
      <c r="E504" s="82" t="s">
        <v>92</v>
      </c>
      <c r="F504" s="84">
        <v>4</v>
      </c>
      <c r="G504" s="85"/>
      <c r="H504" s="85"/>
    </row>
    <row r="505" spans="1:8">
      <c r="A505" s="87"/>
      <c r="B505" s="82"/>
      <c r="C505" s="82"/>
      <c r="D505" s="32" t="s">
        <v>33</v>
      </c>
      <c r="E505" s="82"/>
      <c r="F505" s="84"/>
      <c r="G505" s="85"/>
      <c r="H505" s="22"/>
    </row>
    <row r="506" spans="1:8">
      <c r="A506" s="10">
        <v>2</v>
      </c>
      <c r="B506" s="7"/>
      <c r="C506" s="7"/>
      <c r="D506" s="10" t="s">
        <v>45</v>
      </c>
      <c r="E506" s="13"/>
      <c r="F506" s="20"/>
      <c r="G506" s="18"/>
      <c r="H506" s="80"/>
    </row>
    <row r="507" spans="1:8">
      <c r="A507" s="86" t="s">
        <v>14</v>
      </c>
      <c r="B507" s="82" t="s">
        <v>86</v>
      </c>
      <c r="C507" s="82" t="s">
        <v>95</v>
      </c>
      <c r="D507" s="83" t="s">
        <v>96</v>
      </c>
      <c r="E507" s="82" t="s">
        <v>25</v>
      </c>
      <c r="F507" s="51">
        <f>ROUND((2*1*(F508+F509)),2)</f>
        <v>201.06</v>
      </c>
      <c r="G507" s="85"/>
      <c r="H507" s="85"/>
    </row>
    <row r="508" spans="1:8">
      <c r="A508" s="86" t="s">
        <v>41</v>
      </c>
      <c r="B508" s="82" t="s">
        <v>86</v>
      </c>
      <c r="C508" s="82" t="s">
        <v>42</v>
      </c>
      <c r="D508" s="83" t="s">
        <v>43</v>
      </c>
      <c r="E508" s="82" t="s">
        <v>27</v>
      </c>
      <c r="F508" s="51">
        <f>29.09+25.44</f>
        <v>54.53</v>
      </c>
      <c r="G508" s="85"/>
      <c r="H508" s="85"/>
    </row>
    <row r="509" spans="1:8">
      <c r="A509" s="86" t="s">
        <v>44</v>
      </c>
      <c r="B509" s="236" t="s">
        <v>86</v>
      </c>
      <c r="C509" s="99" t="s">
        <v>1157</v>
      </c>
      <c r="D509" s="237" t="s">
        <v>1158</v>
      </c>
      <c r="E509" s="236" t="s">
        <v>27</v>
      </c>
      <c r="F509" s="219">
        <v>46</v>
      </c>
      <c r="G509" s="238"/>
      <c r="H509" s="238"/>
    </row>
    <row r="510" spans="1:8">
      <c r="A510" s="86" t="s">
        <v>49</v>
      </c>
      <c r="B510" s="236" t="s">
        <v>86</v>
      </c>
      <c r="C510" s="99" t="s">
        <v>1159</v>
      </c>
      <c r="D510" s="237" t="s">
        <v>1160</v>
      </c>
      <c r="E510" s="236" t="s">
        <v>26</v>
      </c>
      <c r="F510" s="219">
        <v>1</v>
      </c>
      <c r="G510" s="238"/>
      <c r="H510" s="238"/>
    </row>
    <row r="511" spans="1:8">
      <c r="A511" s="86" t="s">
        <v>145</v>
      </c>
      <c r="B511" s="82" t="s">
        <v>86</v>
      </c>
      <c r="C511" s="82" t="s">
        <v>87</v>
      </c>
      <c r="D511" s="83" t="s">
        <v>88</v>
      </c>
      <c r="E511" s="82" t="s">
        <v>25</v>
      </c>
      <c r="F511" s="51">
        <f>F507*0.8</f>
        <v>160.84800000000001</v>
      </c>
      <c r="G511" s="85"/>
      <c r="H511" s="85"/>
    </row>
    <row r="512" spans="1:8">
      <c r="A512" s="86" t="s">
        <v>149</v>
      </c>
      <c r="B512" s="82" t="s">
        <v>86</v>
      </c>
      <c r="C512" s="82" t="s">
        <v>125</v>
      </c>
      <c r="D512" s="83" t="s">
        <v>126</v>
      </c>
      <c r="E512" s="82" t="s">
        <v>26</v>
      </c>
      <c r="F512" s="51">
        <v>3</v>
      </c>
      <c r="G512" s="85"/>
      <c r="H512" s="85"/>
    </row>
    <row r="513" spans="1:8">
      <c r="A513" s="86" t="s">
        <v>152</v>
      </c>
      <c r="B513" s="213" t="s">
        <v>86</v>
      </c>
      <c r="C513" s="213" t="s">
        <v>141</v>
      </c>
      <c r="D513" s="214" t="s">
        <v>1107</v>
      </c>
      <c r="E513" s="213" t="s">
        <v>25</v>
      </c>
      <c r="F513" s="51">
        <f>(1.8*0.1*3)+(3*2.1*0.1)+(0.7*0.1*3)+(3*1.4*0.1)+(1.71*0.1)</f>
        <v>1.9710000000000001</v>
      </c>
      <c r="G513" s="40"/>
      <c r="H513" s="40"/>
    </row>
    <row r="514" spans="1:8">
      <c r="A514" s="86" t="s">
        <v>154</v>
      </c>
      <c r="B514" s="213" t="s">
        <v>86</v>
      </c>
      <c r="C514" s="73" t="s">
        <v>146</v>
      </c>
      <c r="D514" s="214" t="s">
        <v>1103</v>
      </c>
      <c r="E514" s="213" t="s">
        <v>148</v>
      </c>
      <c r="F514" s="51">
        <f>F513*80</f>
        <v>157.68</v>
      </c>
      <c r="G514" s="40"/>
      <c r="H514" s="40"/>
    </row>
    <row r="515" spans="1:8">
      <c r="A515" s="86" t="s">
        <v>156</v>
      </c>
      <c r="B515" s="213" t="s">
        <v>86</v>
      </c>
      <c r="C515" s="73" t="s">
        <v>150</v>
      </c>
      <c r="D515" s="214" t="s">
        <v>1104</v>
      </c>
      <c r="E515" s="213" t="s">
        <v>148</v>
      </c>
      <c r="F515" s="51">
        <f>F513*14</f>
        <v>27.594000000000001</v>
      </c>
      <c r="G515" s="40"/>
      <c r="H515" s="40"/>
    </row>
    <row r="516" spans="1:8" ht="29.25">
      <c r="A516" s="86" t="s">
        <v>158</v>
      </c>
      <c r="B516" s="213" t="s">
        <v>86</v>
      </c>
      <c r="C516" s="73" t="s">
        <v>661</v>
      </c>
      <c r="D516" s="214" t="s">
        <v>1105</v>
      </c>
      <c r="E516" s="213" t="s">
        <v>25</v>
      </c>
      <c r="F516" s="51">
        <f>F513</f>
        <v>1.9710000000000001</v>
      </c>
      <c r="G516" s="40"/>
      <c r="H516" s="40"/>
    </row>
    <row r="517" spans="1:8">
      <c r="A517" s="86" t="s">
        <v>160</v>
      </c>
      <c r="B517" s="216" t="s">
        <v>86</v>
      </c>
      <c r="C517" s="217" t="s">
        <v>1161</v>
      </c>
      <c r="D517" s="218" t="s">
        <v>1162</v>
      </c>
      <c r="E517" s="216" t="s">
        <v>23</v>
      </c>
      <c r="F517" s="219">
        <f>(5.5*2)+2.25</f>
        <v>13.25</v>
      </c>
      <c r="G517" s="215"/>
      <c r="H517" s="215"/>
    </row>
    <row r="518" spans="1:8">
      <c r="A518" s="86" t="s">
        <v>1163</v>
      </c>
      <c r="B518" s="216" t="s">
        <v>86</v>
      </c>
      <c r="C518" s="217" t="s">
        <v>219</v>
      </c>
      <c r="D518" s="218" t="s">
        <v>220</v>
      </c>
      <c r="E518" s="216" t="s">
        <v>23</v>
      </c>
      <c r="F518" s="219">
        <f>F517*2</f>
        <v>26.5</v>
      </c>
      <c r="G518" s="215"/>
      <c r="H518" s="215"/>
    </row>
    <row r="519" spans="1:8">
      <c r="A519" s="86" t="s">
        <v>1164</v>
      </c>
      <c r="B519" s="216" t="s">
        <v>86</v>
      </c>
      <c r="C519" s="217" t="s">
        <v>217</v>
      </c>
      <c r="D519" s="218" t="s">
        <v>525</v>
      </c>
      <c r="E519" s="216" t="s">
        <v>23</v>
      </c>
      <c r="F519" s="219">
        <f>F518</f>
        <v>26.5</v>
      </c>
      <c r="G519" s="215"/>
      <c r="H519" s="215"/>
    </row>
    <row r="520" spans="1:8">
      <c r="A520" s="86" t="s">
        <v>1165</v>
      </c>
      <c r="B520" s="213" t="s">
        <v>86</v>
      </c>
      <c r="C520" s="73" t="s">
        <v>663</v>
      </c>
      <c r="D520" s="214" t="s">
        <v>1102</v>
      </c>
      <c r="E520" s="213" t="s">
        <v>23</v>
      </c>
      <c r="F520" s="51">
        <f>(1.8*3)+(0.7*3)</f>
        <v>7.5</v>
      </c>
      <c r="G520" s="40"/>
      <c r="H520" s="215"/>
    </row>
    <row r="521" spans="1:8" ht="43.5">
      <c r="A521" s="86" t="s">
        <v>1166</v>
      </c>
      <c r="B521" s="44" t="s">
        <v>86</v>
      </c>
      <c r="C521" s="73" t="s">
        <v>1034</v>
      </c>
      <c r="D521" s="183" t="s">
        <v>1043</v>
      </c>
      <c r="E521" s="184" t="s">
        <v>25</v>
      </c>
      <c r="F521" s="51">
        <f>(0.5*1*1.5*3)</f>
        <v>2.25</v>
      </c>
      <c r="G521" s="40"/>
      <c r="H521" s="40"/>
    </row>
    <row r="522" spans="1:8" ht="43.5">
      <c r="A522" s="86" t="s">
        <v>1167</v>
      </c>
      <c r="B522" s="44" t="s">
        <v>86</v>
      </c>
      <c r="C522" s="73" t="s">
        <v>1044</v>
      </c>
      <c r="D522" s="183" t="s">
        <v>1045</v>
      </c>
      <c r="E522" s="184" t="s">
        <v>25</v>
      </c>
      <c r="F522" s="51">
        <f>(1*1*1.5*6)</f>
        <v>9</v>
      </c>
      <c r="G522" s="40"/>
      <c r="H522" s="40"/>
    </row>
    <row r="523" spans="1:8">
      <c r="A523" s="87"/>
      <c r="B523" s="82"/>
      <c r="C523" s="82"/>
      <c r="D523" s="32" t="s">
        <v>34</v>
      </c>
      <c r="E523" s="82"/>
      <c r="F523" s="84"/>
      <c r="G523" s="85"/>
      <c r="H523" s="22"/>
    </row>
    <row r="524" spans="1:8">
      <c r="A524" s="10">
        <v>3</v>
      </c>
      <c r="B524" s="7"/>
      <c r="C524" s="7"/>
      <c r="D524" s="10" t="s">
        <v>135</v>
      </c>
      <c r="E524" s="13"/>
      <c r="F524" s="13"/>
      <c r="G524" s="18"/>
      <c r="H524" s="18"/>
    </row>
    <row r="525" spans="1:8" ht="29.25">
      <c r="A525" s="86" t="s">
        <v>15</v>
      </c>
      <c r="B525" s="82" t="s">
        <v>86</v>
      </c>
      <c r="C525" s="82" t="s">
        <v>136</v>
      </c>
      <c r="D525" s="83" t="s">
        <v>137</v>
      </c>
      <c r="E525" s="82" t="s">
        <v>138</v>
      </c>
      <c r="F525" s="84">
        <v>1</v>
      </c>
      <c r="G525" s="85"/>
      <c r="H525" s="85"/>
    </row>
    <row r="526" spans="1:8">
      <c r="A526" s="86" t="s">
        <v>47</v>
      </c>
      <c r="B526" s="82" t="s">
        <v>86</v>
      </c>
      <c r="C526" s="82" t="s">
        <v>594</v>
      </c>
      <c r="D526" s="83" t="s">
        <v>595</v>
      </c>
      <c r="E526" s="82" t="s">
        <v>27</v>
      </c>
      <c r="F526" s="84">
        <f>(26*1.5)+(3*2.2)</f>
        <v>45.6</v>
      </c>
      <c r="G526" s="85"/>
      <c r="H526" s="85"/>
    </row>
    <row r="527" spans="1:8">
      <c r="A527" s="86" t="s">
        <v>166</v>
      </c>
      <c r="B527" s="82" t="s">
        <v>86</v>
      </c>
      <c r="C527" s="82" t="s">
        <v>139</v>
      </c>
      <c r="D527" s="86" t="s">
        <v>140</v>
      </c>
      <c r="E527" s="82" t="s">
        <v>27</v>
      </c>
      <c r="F527" s="84">
        <f>(25*8)</f>
        <v>200</v>
      </c>
      <c r="G527" s="85"/>
      <c r="H527" s="85"/>
    </row>
    <row r="528" spans="1:8">
      <c r="A528" s="86" t="s">
        <v>168</v>
      </c>
      <c r="B528" s="82" t="s">
        <v>86</v>
      </c>
      <c r="C528" s="82" t="s">
        <v>596</v>
      </c>
      <c r="D528" s="86" t="s">
        <v>597</v>
      </c>
      <c r="E528" s="82" t="s">
        <v>27</v>
      </c>
      <c r="F528" s="84">
        <f>(2*8)</f>
        <v>16</v>
      </c>
      <c r="G528" s="85"/>
      <c r="H528" s="85"/>
    </row>
    <row r="529" spans="1:8">
      <c r="A529" s="86" t="s">
        <v>170</v>
      </c>
      <c r="B529" s="82" t="s">
        <v>86</v>
      </c>
      <c r="C529" s="82" t="s">
        <v>141</v>
      </c>
      <c r="D529" s="86" t="s">
        <v>142</v>
      </c>
      <c r="E529" s="82" t="s">
        <v>25</v>
      </c>
      <c r="F529" s="84">
        <f>(0.2*0.25*86.07)+(0.5*0.25*18.32)+(0.2*0.3*49.42)</f>
        <v>9.5587</v>
      </c>
      <c r="G529" s="85"/>
      <c r="H529" s="85"/>
    </row>
    <row r="530" spans="1:8">
      <c r="A530" s="86" t="s">
        <v>172</v>
      </c>
      <c r="B530" s="82" t="s">
        <v>86</v>
      </c>
      <c r="C530" s="82" t="s">
        <v>143</v>
      </c>
      <c r="D530" s="86" t="s">
        <v>144</v>
      </c>
      <c r="E530" s="82" t="s">
        <v>25</v>
      </c>
      <c r="F530" s="84">
        <f>F529</f>
        <v>9.5587</v>
      </c>
      <c r="G530" s="85"/>
      <c r="H530" s="85"/>
    </row>
    <row r="531" spans="1:8">
      <c r="A531" s="86" t="s">
        <v>174</v>
      </c>
      <c r="B531" s="82" t="s">
        <v>86</v>
      </c>
      <c r="C531" s="82" t="s">
        <v>146</v>
      </c>
      <c r="D531" s="86" t="s">
        <v>147</v>
      </c>
      <c r="E531" s="82" t="s">
        <v>148</v>
      </c>
      <c r="F531" s="84">
        <f>F529*80</f>
        <v>764.69600000000003</v>
      </c>
      <c r="G531" s="85"/>
      <c r="H531" s="85"/>
    </row>
    <row r="532" spans="1:8">
      <c r="A532" s="86" t="s">
        <v>177</v>
      </c>
      <c r="B532" s="82" t="s">
        <v>86</v>
      </c>
      <c r="C532" s="82" t="s">
        <v>150</v>
      </c>
      <c r="D532" s="86" t="s">
        <v>151</v>
      </c>
      <c r="E532" s="82" t="s">
        <v>148</v>
      </c>
      <c r="F532" s="84">
        <f>F529*14</f>
        <v>133.8218</v>
      </c>
      <c r="G532" s="85"/>
      <c r="H532" s="85"/>
    </row>
    <row r="533" spans="1:8">
      <c r="A533" s="86" t="s">
        <v>180</v>
      </c>
      <c r="B533" s="82" t="s">
        <v>86</v>
      </c>
      <c r="C533" s="82" t="s">
        <v>141</v>
      </c>
      <c r="D533" s="86" t="s">
        <v>153</v>
      </c>
      <c r="E533" s="82" t="s">
        <v>25</v>
      </c>
      <c r="F533" s="84">
        <f>(0.5*0.5*0.4*11)+(0.5*1.4*0.4*8)</f>
        <v>3.34</v>
      </c>
      <c r="G533" s="85"/>
      <c r="H533" s="85"/>
    </row>
    <row r="534" spans="1:8" ht="29.25">
      <c r="A534" s="86" t="s">
        <v>183</v>
      </c>
      <c r="B534" s="82" t="s">
        <v>86</v>
      </c>
      <c r="C534" s="82" t="s">
        <v>143</v>
      </c>
      <c r="D534" s="83" t="s">
        <v>155</v>
      </c>
      <c r="E534" s="82" t="s">
        <v>25</v>
      </c>
      <c r="F534" s="84">
        <f>F533</f>
        <v>3.34</v>
      </c>
      <c r="G534" s="85"/>
      <c r="H534" s="85"/>
    </row>
    <row r="535" spans="1:8">
      <c r="A535" s="86" t="s">
        <v>186</v>
      </c>
      <c r="B535" s="82" t="s">
        <v>86</v>
      </c>
      <c r="C535" s="82" t="s">
        <v>146</v>
      </c>
      <c r="D535" s="86" t="s">
        <v>157</v>
      </c>
      <c r="E535" s="82" t="s">
        <v>148</v>
      </c>
      <c r="F535" s="84">
        <f>F533*80</f>
        <v>267.2</v>
      </c>
      <c r="G535" s="85"/>
      <c r="H535" s="85"/>
    </row>
    <row r="536" spans="1:8">
      <c r="A536" s="86" t="s">
        <v>189</v>
      </c>
      <c r="B536" s="82" t="s">
        <v>86</v>
      </c>
      <c r="C536" s="82" t="s">
        <v>150</v>
      </c>
      <c r="D536" s="86" t="s">
        <v>159</v>
      </c>
      <c r="E536" s="82" t="s">
        <v>148</v>
      </c>
      <c r="F536" s="84">
        <f>F533*14</f>
        <v>46.76</v>
      </c>
      <c r="G536" s="85"/>
      <c r="H536" s="85"/>
    </row>
    <row r="537" spans="1:8">
      <c r="A537" s="86" t="s">
        <v>598</v>
      </c>
      <c r="B537" s="82" t="s">
        <v>86</v>
      </c>
      <c r="C537" s="82" t="s">
        <v>161</v>
      </c>
      <c r="D537" s="86" t="s">
        <v>162</v>
      </c>
      <c r="E537" s="82" t="s">
        <v>25</v>
      </c>
      <c r="F537" s="84">
        <f>((0.2*86.07)+(0.5*18.32)+(0.2*49.42)+(0.5*0.5*11)+(0.5*1.4*8))*0.03</f>
        <v>1.3382399999999999</v>
      </c>
      <c r="G537" s="85"/>
      <c r="H537" s="85"/>
    </row>
    <row r="538" spans="1:8">
      <c r="A538" s="86"/>
      <c r="B538" s="82"/>
      <c r="C538" s="88"/>
      <c r="D538" s="32" t="s">
        <v>35</v>
      </c>
      <c r="E538" s="82"/>
      <c r="F538" s="84"/>
      <c r="G538" s="85"/>
      <c r="H538" s="22"/>
    </row>
    <row r="539" spans="1:8">
      <c r="A539" s="10">
        <v>4</v>
      </c>
      <c r="B539" s="7"/>
      <c r="C539" s="7"/>
      <c r="D539" s="10" t="s">
        <v>163</v>
      </c>
      <c r="E539" s="13"/>
      <c r="F539" s="13"/>
      <c r="G539" s="18"/>
      <c r="H539" s="80"/>
    </row>
    <row r="540" spans="1:8" ht="29.25">
      <c r="A540" s="86" t="s">
        <v>16</v>
      </c>
      <c r="B540" s="82" t="s">
        <v>86</v>
      </c>
      <c r="C540" s="82" t="s">
        <v>141</v>
      </c>
      <c r="D540" s="83" t="s">
        <v>164</v>
      </c>
      <c r="E540" s="82" t="s">
        <v>25</v>
      </c>
      <c r="F540" s="84">
        <f>(0.15*0.25*3.1*3)+(0.15*0.25*7.18*5)+(0.15*0.45*4.4*5)+(0.15*0.45*2.05)+(0.15*0.45*4.1*2)+(0.15*0.2*0.6*11)+(0.15*0.2*0.5*17)+(0.15*0.2*0.9*1)+(0.13*3.2*1)+(0.13*4.1*1)</f>
        <v>5.3008750000000013</v>
      </c>
      <c r="G540" s="85"/>
      <c r="H540" s="85"/>
    </row>
    <row r="541" spans="1:8">
      <c r="A541" s="86" t="s">
        <v>17</v>
      </c>
      <c r="B541" s="82" t="s">
        <v>86</v>
      </c>
      <c r="C541" s="82" t="s">
        <v>146</v>
      </c>
      <c r="D541" s="25" t="s">
        <v>165</v>
      </c>
      <c r="E541" s="82" t="s">
        <v>148</v>
      </c>
      <c r="F541" s="84">
        <f>80*F540</f>
        <v>424.07000000000011</v>
      </c>
      <c r="G541" s="85"/>
      <c r="H541" s="85"/>
    </row>
    <row r="542" spans="1:8">
      <c r="A542" s="86" t="s">
        <v>93</v>
      </c>
      <c r="B542" s="82" t="s">
        <v>86</v>
      </c>
      <c r="C542" s="82" t="s">
        <v>150</v>
      </c>
      <c r="D542" s="25" t="s">
        <v>167</v>
      </c>
      <c r="E542" s="82" t="s">
        <v>148</v>
      </c>
      <c r="F542" s="84">
        <f>14*F540</f>
        <v>74.212250000000012</v>
      </c>
      <c r="G542" s="85"/>
      <c r="H542" s="85"/>
    </row>
    <row r="543" spans="1:8" ht="29.25">
      <c r="A543" s="86" t="s">
        <v>94</v>
      </c>
      <c r="B543" s="82" t="s">
        <v>86</v>
      </c>
      <c r="C543" s="82" t="s">
        <v>141</v>
      </c>
      <c r="D543" s="83" t="s">
        <v>169</v>
      </c>
      <c r="E543" s="82" t="s">
        <v>25</v>
      </c>
      <c r="F543" s="84">
        <f>(0.15*0.3*19.92)+(0.15*0.3*12.36)+(0.5*0.25*10.41)+(0.08*0.3*9.55)</f>
        <v>2.98305</v>
      </c>
      <c r="G543" s="85"/>
      <c r="H543" s="85"/>
    </row>
    <row r="544" spans="1:8">
      <c r="A544" s="86" t="s">
        <v>599</v>
      </c>
      <c r="B544" s="82" t="s">
        <v>86</v>
      </c>
      <c r="C544" s="82" t="s">
        <v>146</v>
      </c>
      <c r="D544" s="25" t="s">
        <v>171</v>
      </c>
      <c r="E544" s="82" t="s">
        <v>148</v>
      </c>
      <c r="F544" s="84">
        <f>80*F543</f>
        <v>238.64400000000001</v>
      </c>
      <c r="G544" s="85"/>
      <c r="H544" s="85"/>
    </row>
    <row r="545" spans="1:8">
      <c r="A545" s="86" t="s">
        <v>600</v>
      </c>
      <c r="B545" s="82" t="s">
        <v>86</v>
      </c>
      <c r="C545" s="82" t="s">
        <v>150</v>
      </c>
      <c r="D545" s="25" t="s">
        <v>173</v>
      </c>
      <c r="E545" s="82" t="s">
        <v>148</v>
      </c>
      <c r="F545" s="84">
        <f>14*F543</f>
        <v>41.762700000000002</v>
      </c>
      <c r="G545" s="85"/>
      <c r="H545" s="85"/>
    </row>
    <row r="546" spans="1:8">
      <c r="A546" s="86" t="s">
        <v>601</v>
      </c>
      <c r="B546" s="82" t="s">
        <v>86</v>
      </c>
      <c r="C546" s="82" t="s">
        <v>175</v>
      </c>
      <c r="D546" s="86" t="s">
        <v>176</v>
      </c>
      <c r="E546" s="82" t="s">
        <v>25</v>
      </c>
      <c r="F546" s="84">
        <f>0.15*0.15*(1.8+1.8+1.6+2+2+1.5+1.5)</f>
        <v>0.27449999999999997</v>
      </c>
      <c r="G546" s="85"/>
      <c r="H546" s="85"/>
    </row>
    <row r="547" spans="1:8" ht="29.25">
      <c r="A547" s="86" t="s">
        <v>602</v>
      </c>
      <c r="B547" s="82" t="s">
        <v>86</v>
      </c>
      <c r="C547" s="82" t="s">
        <v>178</v>
      </c>
      <c r="D547" s="28" t="s">
        <v>179</v>
      </c>
      <c r="E547" s="82" t="s">
        <v>23</v>
      </c>
      <c r="F547" s="84">
        <f>21.87</f>
        <v>21.87</v>
      </c>
      <c r="G547" s="85"/>
      <c r="H547" s="85"/>
    </row>
    <row r="548" spans="1:8" ht="29.25">
      <c r="A548" s="86" t="s">
        <v>603</v>
      </c>
      <c r="B548" s="82" t="s">
        <v>86</v>
      </c>
      <c r="C548" s="82" t="s">
        <v>181</v>
      </c>
      <c r="D548" s="28" t="s">
        <v>604</v>
      </c>
      <c r="E548" s="82" t="s">
        <v>23</v>
      </c>
      <c r="F548" s="84">
        <f>F547+(10.55*1.35)+70.25+64.51</f>
        <v>170.8725</v>
      </c>
      <c r="G548" s="85"/>
      <c r="H548" s="85"/>
    </row>
    <row r="549" spans="1:8" ht="29.25">
      <c r="A549" s="86" t="s">
        <v>605</v>
      </c>
      <c r="B549" s="82" t="s">
        <v>86</v>
      </c>
      <c r="C549" s="82" t="s">
        <v>184</v>
      </c>
      <c r="D549" s="83" t="s">
        <v>606</v>
      </c>
      <c r="E549" s="82" t="s">
        <v>25</v>
      </c>
      <c r="F549" s="84">
        <f>(17.8*0.05)+(64.51*0.1)</f>
        <v>7.3410000000000011</v>
      </c>
      <c r="G549" s="85"/>
      <c r="H549" s="85"/>
    </row>
    <row r="550" spans="1:8">
      <c r="A550" s="86" t="s">
        <v>607</v>
      </c>
      <c r="B550" s="82" t="s">
        <v>86</v>
      </c>
      <c r="C550" s="82" t="s">
        <v>608</v>
      </c>
      <c r="D550" s="86" t="s">
        <v>609</v>
      </c>
      <c r="E550" s="82" t="s">
        <v>148</v>
      </c>
      <c r="F550" s="84">
        <f>(1.48*64.51)</f>
        <v>95.474800000000002</v>
      </c>
      <c r="G550" s="85"/>
      <c r="H550" s="85"/>
    </row>
    <row r="551" spans="1:8">
      <c r="A551" s="86" t="s">
        <v>610</v>
      </c>
      <c r="B551" s="82" t="s">
        <v>86</v>
      </c>
      <c r="C551" s="82" t="s">
        <v>187</v>
      </c>
      <c r="D551" s="86" t="s">
        <v>188</v>
      </c>
      <c r="E551" s="82" t="s">
        <v>23</v>
      </c>
      <c r="F551" s="84">
        <f>(0.25*38.73)</f>
        <v>9.6824999999999992</v>
      </c>
      <c r="G551" s="85"/>
      <c r="H551" s="85"/>
    </row>
    <row r="552" spans="1:8">
      <c r="A552" s="86" t="s">
        <v>611</v>
      </c>
      <c r="B552" s="82" t="s">
        <v>86</v>
      </c>
      <c r="C552" s="82" t="s">
        <v>612</v>
      </c>
      <c r="D552" s="86" t="s">
        <v>613</v>
      </c>
      <c r="E552" s="82" t="s">
        <v>27</v>
      </c>
      <c r="F552" s="84">
        <f>3.2+4.1</f>
        <v>7.3</v>
      </c>
      <c r="G552" s="85"/>
      <c r="H552" s="85"/>
    </row>
    <row r="553" spans="1:8">
      <c r="A553" s="86" t="s">
        <v>614</v>
      </c>
      <c r="B553" s="82" t="s">
        <v>86</v>
      </c>
      <c r="C553" s="82" t="s">
        <v>190</v>
      </c>
      <c r="D553" s="86" t="s">
        <v>191</v>
      </c>
      <c r="E553" s="82" t="s">
        <v>25</v>
      </c>
      <c r="F553" s="84">
        <f>5.3+2.98+7.34+4.92</f>
        <v>20.54</v>
      </c>
      <c r="G553" s="85"/>
      <c r="H553" s="85"/>
    </row>
    <row r="554" spans="1:8">
      <c r="A554" s="86" t="s">
        <v>615</v>
      </c>
      <c r="B554" s="82" t="s">
        <v>86</v>
      </c>
      <c r="C554" s="82" t="s">
        <v>141</v>
      </c>
      <c r="D554" s="86" t="s">
        <v>616</v>
      </c>
      <c r="E554" s="82" t="s">
        <v>25</v>
      </c>
      <c r="F554" s="84">
        <f>(70.25*0.07)</f>
        <v>4.9175000000000004</v>
      </c>
      <c r="G554" s="85"/>
      <c r="H554" s="85"/>
    </row>
    <row r="555" spans="1:8">
      <c r="A555" s="86" t="s">
        <v>617</v>
      </c>
      <c r="B555" s="82" t="s">
        <v>86</v>
      </c>
      <c r="C555" s="82" t="s">
        <v>146</v>
      </c>
      <c r="D555" s="25" t="s">
        <v>618</v>
      </c>
      <c r="E555" s="82" t="s">
        <v>148</v>
      </c>
      <c r="F555" s="84">
        <f>F554*80</f>
        <v>393.40000000000003</v>
      </c>
      <c r="G555" s="85"/>
      <c r="H555" s="85"/>
    </row>
    <row r="556" spans="1:8">
      <c r="A556" s="86" t="s">
        <v>619</v>
      </c>
      <c r="B556" s="82" t="s">
        <v>86</v>
      </c>
      <c r="C556" s="82" t="s">
        <v>150</v>
      </c>
      <c r="D556" s="25" t="s">
        <v>620</v>
      </c>
      <c r="E556" s="82" t="s">
        <v>148</v>
      </c>
      <c r="F556" s="84">
        <f>F554*14</f>
        <v>68.844999999999999</v>
      </c>
      <c r="G556" s="85"/>
      <c r="H556" s="85"/>
    </row>
    <row r="557" spans="1:8" ht="29.25">
      <c r="A557" s="86" t="s">
        <v>621</v>
      </c>
      <c r="B557" s="82" t="s">
        <v>86</v>
      </c>
      <c r="C557" s="82" t="s">
        <v>622</v>
      </c>
      <c r="D557" s="28" t="s">
        <v>623</v>
      </c>
      <c r="E557" s="82" t="s">
        <v>23</v>
      </c>
      <c r="F557" s="84">
        <v>70.25</v>
      </c>
      <c r="G557" s="85"/>
      <c r="H557" s="85"/>
    </row>
    <row r="558" spans="1:8">
      <c r="A558" s="86" t="s">
        <v>624</v>
      </c>
      <c r="B558" s="82" t="s">
        <v>86</v>
      </c>
      <c r="C558" s="82" t="s">
        <v>184</v>
      </c>
      <c r="D558" s="86" t="s">
        <v>625</v>
      </c>
      <c r="E558" s="82" t="s">
        <v>25</v>
      </c>
      <c r="F558" s="84">
        <f>0.0558+0.0774+0.09+0.0152</f>
        <v>0.23839999999999997</v>
      </c>
      <c r="G558" s="85"/>
      <c r="H558" s="85"/>
    </row>
    <row r="559" spans="1:8">
      <c r="A559" s="86"/>
      <c r="B559" s="82"/>
      <c r="C559" s="82"/>
      <c r="D559" s="31" t="s">
        <v>36</v>
      </c>
      <c r="E559" s="82"/>
      <c r="F559" s="84"/>
      <c r="G559" s="85"/>
      <c r="H559" s="22"/>
    </row>
    <row r="560" spans="1:8">
      <c r="A560" s="10">
        <v>5</v>
      </c>
      <c r="B560" s="7"/>
      <c r="C560" s="7"/>
      <c r="D560" s="10" t="s">
        <v>192</v>
      </c>
      <c r="E560" s="13"/>
      <c r="F560" s="13"/>
      <c r="G560" s="18"/>
      <c r="H560" s="80"/>
    </row>
    <row r="561" spans="1:8">
      <c r="A561" s="86" t="s">
        <v>18</v>
      </c>
      <c r="B561" s="82" t="s">
        <v>86</v>
      </c>
      <c r="C561" s="82" t="s">
        <v>193</v>
      </c>
      <c r="D561" s="25" t="s">
        <v>194</v>
      </c>
      <c r="E561" s="82" t="s">
        <v>25</v>
      </c>
      <c r="F561" s="84">
        <f>((90.07+49.42)*0.2*0.15)</f>
        <v>4.1847000000000003</v>
      </c>
      <c r="G561" s="85"/>
      <c r="H561" s="85"/>
    </row>
    <row r="562" spans="1:8">
      <c r="A562" s="86" t="s">
        <v>52</v>
      </c>
      <c r="B562" s="82" t="s">
        <v>86</v>
      </c>
      <c r="C562" s="82" t="s">
        <v>195</v>
      </c>
      <c r="D562" s="25" t="s">
        <v>196</v>
      </c>
      <c r="E562" s="82" t="s">
        <v>23</v>
      </c>
      <c r="F562" s="84">
        <f>(16.72*2.7)+(12.48*1.8)+(6*2.9)+(8.75*2.9*2)+(10.41*1.2*2)+(4.62*2.9*2)+(10.55*1.1*2)+(24.9*0.6)+(34.22*0.5)+(4*0.9)-(1.6*2.2)-(1.5*0.7)-(1.5*1)-(0.25*3.1*3)-(0.25*7.18*5)-(0.45*4.4*5)-(0.45*2.05)-(0.45*4.1*2)-(0.2*0.6*11)-(0.2*0.5*17)-(0.2*0.9*1)-(0.13*3.2*1)-(0.13*4.1*1)</f>
        <v>210.3665</v>
      </c>
      <c r="G562" s="85"/>
      <c r="H562" s="85"/>
    </row>
    <row r="563" spans="1:8" ht="29.25">
      <c r="A563" s="86" t="s">
        <v>54</v>
      </c>
      <c r="B563" s="82" t="s">
        <v>86</v>
      </c>
      <c r="C563" s="82" t="s">
        <v>181</v>
      </c>
      <c r="D563" s="28" t="s">
        <v>515</v>
      </c>
      <c r="E563" s="82" t="s">
        <v>23</v>
      </c>
      <c r="F563" s="84">
        <f>(14.91*3.1)+(25*0.55)+(86.07*0.5)</f>
        <v>103.006</v>
      </c>
      <c r="G563" s="85"/>
      <c r="H563" s="85"/>
    </row>
    <row r="564" spans="1:8" ht="29.25">
      <c r="A564" s="86" t="s">
        <v>55</v>
      </c>
      <c r="B564" s="82" t="s">
        <v>86</v>
      </c>
      <c r="C564" s="82" t="s">
        <v>198</v>
      </c>
      <c r="D564" s="28" t="s">
        <v>199</v>
      </c>
      <c r="E564" s="82" t="s">
        <v>23</v>
      </c>
      <c r="F564" s="84">
        <f>(118.31*0.4)+(20.42*0.4)+(24.17*0.4)</f>
        <v>65.160000000000011</v>
      </c>
      <c r="G564" s="85"/>
      <c r="H564" s="85"/>
    </row>
    <row r="565" spans="1:8">
      <c r="A565" s="86"/>
      <c r="B565" s="82"/>
      <c r="C565" s="82"/>
      <c r="D565" s="89" t="s">
        <v>60</v>
      </c>
      <c r="E565" s="82"/>
      <c r="F565" s="84"/>
      <c r="G565" s="85"/>
      <c r="H565" s="22"/>
    </row>
    <row r="566" spans="1:8">
      <c r="A566" s="10">
        <v>6</v>
      </c>
      <c r="B566" s="7"/>
      <c r="C566" s="13"/>
      <c r="D566" s="10" t="s">
        <v>200</v>
      </c>
      <c r="E566" s="13"/>
      <c r="F566" s="13"/>
      <c r="G566" s="18"/>
      <c r="H566" s="80"/>
    </row>
    <row r="567" spans="1:8">
      <c r="A567" s="86" t="s">
        <v>62</v>
      </c>
      <c r="B567" s="82" t="s">
        <v>86</v>
      </c>
      <c r="C567" s="82" t="s">
        <v>207</v>
      </c>
      <c r="D567" s="86" t="s">
        <v>208</v>
      </c>
      <c r="E567" s="82" t="s">
        <v>27</v>
      </c>
      <c r="F567" s="84">
        <f>(2.44)</f>
        <v>2.44</v>
      </c>
      <c r="G567" s="85"/>
      <c r="H567" s="85"/>
    </row>
    <row r="568" spans="1:8">
      <c r="A568" s="86" t="s">
        <v>64</v>
      </c>
      <c r="B568" s="82" t="s">
        <v>86</v>
      </c>
      <c r="C568" s="82" t="s">
        <v>207</v>
      </c>
      <c r="D568" s="86" t="s">
        <v>210</v>
      </c>
      <c r="E568" s="82" t="s">
        <v>27</v>
      </c>
      <c r="F568" s="84">
        <f>(2.44+2.44+3.8+3.8)</f>
        <v>12.48</v>
      </c>
      <c r="G568" s="85"/>
      <c r="H568" s="85"/>
    </row>
    <row r="569" spans="1:8">
      <c r="A569" s="86"/>
      <c r="B569" s="82"/>
      <c r="C569" s="82"/>
      <c r="D569" s="31" t="s">
        <v>66</v>
      </c>
      <c r="E569" s="82"/>
      <c r="F569" s="84"/>
      <c r="G569" s="85"/>
      <c r="H569" s="22"/>
    </row>
    <row r="570" spans="1:8">
      <c r="A570" s="10">
        <v>7</v>
      </c>
      <c r="B570" s="13"/>
      <c r="C570" s="13"/>
      <c r="D570" s="10" t="s">
        <v>216</v>
      </c>
      <c r="E570" s="13"/>
      <c r="F570" s="13"/>
      <c r="G570" s="18"/>
      <c r="H570" s="80"/>
    </row>
    <row r="571" spans="1:8">
      <c r="A571" s="86" t="s">
        <v>68</v>
      </c>
      <c r="B571" s="82" t="s">
        <v>86</v>
      </c>
      <c r="C571" s="82" t="s">
        <v>217</v>
      </c>
      <c r="D571" s="86" t="s">
        <v>218</v>
      </c>
      <c r="E571" s="82" t="s">
        <v>23</v>
      </c>
      <c r="F571" s="84">
        <f>(16.72*2.7*2)+(12.48*1.8)+(6*2.9*2)+(8.75*2.9*2)+(10.41*1.2*2)+(4.62*2.9*2)+(10.55*1.1*2)+(24.9*0.6*2)+(34.22*0.5*2)+(4*0.9*2)+92.12-(1.6*2.2)-(1.5*0.7)-(1.5*1)-(0.25*3.1*3)-(0.25*7.18*5)-(0.45*4.4*5)-(0.45*2.05)-(0.45*4.1*2)-(0.2*0.6*11)-(0.2*0.5*17)-(0.2*0.9*1)-(0.13*3.2*1)-(0.13*4.1*1)</f>
        <v>400.68049999999994</v>
      </c>
      <c r="G571" s="85"/>
      <c r="H571" s="85"/>
    </row>
    <row r="572" spans="1:8">
      <c r="A572" s="86" t="s">
        <v>69</v>
      </c>
      <c r="B572" s="82" t="s">
        <v>86</v>
      </c>
      <c r="C572" s="82" t="s">
        <v>219</v>
      </c>
      <c r="D572" s="25" t="s">
        <v>526</v>
      </c>
      <c r="E572" s="82" t="s">
        <v>23</v>
      </c>
      <c r="F572" s="84">
        <f>F571</f>
        <v>400.68049999999994</v>
      </c>
      <c r="G572" s="85"/>
      <c r="H572" s="85"/>
    </row>
    <row r="573" spans="1:8" ht="29.25">
      <c r="A573" s="86" t="s">
        <v>70</v>
      </c>
      <c r="B573" s="82" t="s">
        <v>86</v>
      </c>
      <c r="C573" s="82" t="s">
        <v>626</v>
      </c>
      <c r="D573" s="28" t="s">
        <v>694</v>
      </c>
      <c r="E573" s="82" t="s">
        <v>23</v>
      </c>
      <c r="F573" s="84">
        <f>(84.85+32.38+20.08+2.73)</f>
        <v>140.04</v>
      </c>
      <c r="G573" s="85"/>
      <c r="H573" s="85"/>
    </row>
    <row r="574" spans="1:8" ht="29.25">
      <c r="A574" s="86" t="s">
        <v>223</v>
      </c>
      <c r="B574" s="82" t="s">
        <v>86</v>
      </c>
      <c r="C574" s="82" t="s">
        <v>627</v>
      </c>
      <c r="D574" s="28" t="s">
        <v>628</v>
      </c>
      <c r="E574" s="82" t="s">
        <v>23</v>
      </c>
      <c r="F574" s="84">
        <f>(6.67+3.43+3.11)*0.7</f>
        <v>9.2469999999999981</v>
      </c>
      <c r="G574" s="85"/>
      <c r="H574" s="85"/>
    </row>
    <row r="575" spans="1:8">
      <c r="A575" s="86"/>
      <c r="B575" s="82"/>
      <c r="C575" s="82"/>
      <c r="D575" s="89" t="s">
        <v>71</v>
      </c>
      <c r="E575" s="82"/>
      <c r="F575" s="84"/>
      <c r="G575" s="85"/>
      <c r="H575" s="22"/>
    </row>
    <row r="576" spans="1:8">
      <c r="A576" s="10">
        <v>8</v>
      </c>
      <c r="B576" s="13"/>
      <c r="C576" s="13"/>
      <c r="D576" s="10" t="s">
        <v>233</v>
      </c>
      <c r="E576" s="13"/>
      <c r="F576" s="20"/>
      <c r="G576" s="18"/>
      <c r="H576" s="80"/>
    </row>
    <row r="577" spans="1:8" ht="29.25">
      <c r="A577" s="86" t="s">
        <v>73</v>
      </c>
      <c r="B577" s="82" t="s">
        <v>86</v>
      </c>
      <c r="C577" s="82" t="s">
        <v>221</v>
      </c>
      <c r="D577" s="28" t="s">
        <v>629</v>
      </c>
      <c r="E577" s="82" t="s">
        <v>23</v>
      </c>
      <c r="F577" s="84">
        <f>(4.76*2.5)+(2.3*1.3)</f>
        <v>14.889999999999999</v>
      </c>
      <c r="G577" s="85"/>
      <c r="H577" s="85"/>
    </row>
    <row r="578" spans="1:8" ht="43.5">
      <c r="A578" s="86" t="s">
        <v>75</v>
      </c>
      <c r="B578" s="82" t="s">
        <v>86</v>
      </c>
      <c r="C578" s="82" t="s">
        <v>236</v>
      </c>
      <c r="D578" s="83" t="s">
        <v>680</v>
      </c>
      <c r="E578" s="82" t="s">
        <v>27</v>
      </c>
      <c r="F578" s="84">
        <f>(3.8+4.76+2.5+2.32+0.15+1.3+2.3)</f>
        <v>17.13</v>
      </c>
      <c r="G578" s="85"/>
      <c r="H578" s="85"/>
    </row>
    <row r="579" spans="1:8" ht="29.25">
      <c r="A579" s="86" t="s">
        <v>78</v>
      </c>
      <c r="B579" s="82" t="s">
        <v>86</v>
      </c>
      <c r="C579" s="82" t="s">
        <v>630</v>
      </c>
      <c r="D579" s="83" t="s">
        <v>231</v>
      </c>
      <c r="E579" s="82" t="s">
        <v>23</v>
      </c>
      <c r="F579" s="84">
        <f>F577</f>
        <v>14.889999999999999</v>
      </c>
      <c r="G579" s="85"/>
      <c r="H579" s="85"/>
    </row>
    <row r="580" spans="1:8" ht="29.25">
      <c r="A580" s="86" t="s">
        <v>109</v>
      </c>
      <c r="B580" s="82" t="s">
        <v>86</v>
      </c>
      <c r="C580" s="82" t="s">
        <v>238</v>
      </c>
      <c r="D580" s="83" t="s">
        <v>239</v>
      </c>
      <c r="E580" s="82" t="s">
        <v>27</v>
      </c>
      <c r="F580" s="84">
        <f>F578</f>
        <v>17.13</v>
      </c>
      <c r="G580" s="85"/>
      <c r="H580" s="85"/>
    </row>
    <row r="581" spans="1:8">
      <c r="A581" s="86"/>
      <c r="B581" s="82"/>
      <c r="C581" s="82"/>
      <c r="D581" s="31" t="s">
        <v>80</v>
      </c>
      <c r="E581" s="82"/>
      <c r="F581" s="84"/>
      <c r="G581" s="85"/>
      <c r="H581" s="22"/>
    </row>
    <row r="582" spans="1:8">
      <c r="A582" s="10">
        <v>9</v>
      </c>
      <c r="B582" s="13"/>
      <c r="C582" s="13"/>
      <c r="D582" s="10" t="s">
        <v>547</v>
      </c>
      <c r="E582" s="13"/>
      <c r="F582" s="13"/>
      <c r="G582" s="18"/>
      <c r="H582" s="80"/>
    </row>
    <row r="583" spans="1:8" ht="29.25">
      <c r="A583" s="246" t="s">
        <v>81</v>
      </c>
      <c r="B583" s="82" t="s">
        <v>86</v>
      </c>
      <c r="C583" s="82" t="s">
        <v>63</v>
      </c>
      <c r="D583" s="83" t="s">
        <v>65</v>
      </c>
      <c r="E583" s="82" t="s">
        <v>23</v>
      </c>
      <c r="F583" s="84">
        <v>110</v>
      </c>
      <c r="G583" s="85"/>
      <c r="H583" s="85"/>
    </row>
    <row r="584" spans="1:8">
      <c r="A584" s="86"/>
      <c r="B584" s="82"/>
      <c r="C584" s="82"/>
      <c r="D584" s="32" t="s">
        <v>83</v>
      </c>
      <c r="E584" s="82"/>
      <c r="F584" s="84"/>
      <c r="G584" s="85"/>
      <c r="H584" s="22"/>
    </row>
    <row r="585" spans="1:8">
      <c r="A585" s="10">
        <v>10</v>
      </c>
      <c r="B585" s="13"/>
      <c r="C585" s="13"/>
      <c r="D585" s="10" t="s">
        <v>250</v>
      </c>
      <c r="E585" s="13"/>
      <c r="F585" s="13"/>
      <c r="G585" s="18"/>
      <c r="H585" s="80"/>
    </row>
    <row r="586" spans="1:8">
      <c r="A586" s="86" t="s">
        <v>103</v>
      </c>
      <c r="B586" s="82" t="s">
        <v>86</v>
      </c>
      <c r="C586" s="82" t="s">
        <v>631</v>
      </c>
      <c r="D586" s="28" t="s">
        <v>632</v>
      </c>
      <c r="E586" s="82" t="s">
        <v>23</v>
      </c>
      <c r="F586" s="82">
        <f>1.6*2.2</f>
        <v>3.5200000000000005</v>
      </c>
      <c r="G586" s="85"/>
      <c r="H586" s="85"/>
    </row>
    <row r="587" spans="1:8">
      <c r="A587" s="86" t="s">
        <v>253</v>
      </c>
      <c r="B587" s="82" t="s">
        <v>86</v>
      </c>
      <c r="C587" s="82" t="s">
        <v>263</v>
      </c>
      <c r="D587" s="91" t="s">
        <v>633</v>
      </c>
      <c r="E587" s="82" t="s">
        <v>23</v>
      </c>
      <c r="F587" s="84">
        <f>(1.6*0.7)+(1.8*1)+(0.65*1.6*2)+1.16</f>
        <v>6.16</v>
      </c>
      <c r="G587" s="85"/>
      <c r="H587" s="85"/>
    </row>
    <row r="588" spans="1:8">
      <c r="A588" s="86" t="s">
        <v>256</v>
      </c>
      <c r="B588" s="82" t="s">
        <v>86</v>
      </c>
      <c r="C588" s="82" t="s">
        <v>556</v>
      </c>
      <c r="D588" s="91" t="s">
        <v>634</v>
      </c>
      <c r="E588" s="82" t="s">
        <v>23</v>
      </c>
      <c r="F588" s="84">
        <f>F587</f>
        <v>6.16</v>
      </c>
      <c r="G588" s="85"/>
      <c r="H588" s="85"/>
    </row>
    <row r="589" spans="1:8">
      <c r="A589" s="86"/>
      <c r="B589" s="82"/>
      <c r="C589" s="54"/>
      <c r="D589" s="32" t="s">
        <v>104</v>
      </c>
      <c r="E589" s="82"/>
      <c r="F589" s="84"/>
      <c r="G589" s="85"/>
      <c r="H589" s="22"/>
    </row>
    <row r="590" spans="1:8">
      <c r="A590" s="10">
        <v>11</v>
      </c>
      <c r="B590" s="13"/>
      <c r="C590" s="13"/>
      <c r="D590" s="7" t="s">
        <v>270</v>
      </c>
      <c r="E590" s="13"/>
      <c r="F590" s="13"/>
      <c r="G590" s="18"/>
      <c r="H590" s="80"/>
    </row>
    <row r="591" spans="1:8">
      <c r="A591" s="86" t="s">
        <v>271</v>
      </c>
      <c r="B591" s="82" t="s">
        <v>86</v>
      </c>
      <c r="C591" s="54" t="s">
        <v>278</v>
      </c>
      <c r="D591" s="91" t="s">
        <v>635</v>
      </c>
      <c r="E591" s="82" t="s">
        <v>23</v>
      </c>
      <c r="F591" s="84">
        <f>F571-F593</f>
        <v>331.36849999999993</v>
      </c>
      <c r="G591" s="85"/>
      <c r="H591" s="85"/>
    </row>
    <row r="592" spans="1:8">
      <c r="A592" s="86" t="s">
        <v>274</v>
      </c>
      <c r="B592" s="82" t="s">
        <v>86</v>
      </c>
      <c r="C592" s="82" t="s">
        <v>636</v>
      </c>
      <c r="D592" s="81" t="s">
        <v>637</v>
      </c>
      <c r="E592" s="82" t="s">
        <v>23</v>
      </c>
      <c r="F592" s="84">
        <f>(10.26*3.2*2)+(6.2*4.4)+(11.92*1.2*2)-(1.5*0.7)-9.25</f>
        <v>111.25200000000001</v>
      </c>
      <c r="G592" s="85"/>
      <c r="H592" s="85"/>
    </row>
    <row r="593" spans="1:8">
      <c r="A593" s="86" t="s">
        <v>277</v>
      </c>
      <c r="B593" s="82" t="s">
        <v>86</v>
      </c>
      <c r="C593" s="82" t="s">
        <v>275</v>
      </c>
      <c r="D593" s="81" t="s">
        <v>276</v>
      </c>
      <c r="E593" s="82" t="s">
        <v>23</v>
      </c>
      <c r="F593" s="84">
        <f>(17.02*3.1)+21.87-3.52-1.8</f>
        <v>69.312000000000012</v>
      </c>
      <c r="G593" s="85"/>
      <c r="H593" s="85"/>
    </row>
    <row r="594" spans="1:8">
      <c r="A594" s="86" t="s">
        <v>280</v>
      </c>
      <c r="B594" s="82" t="s">
        <v>86</v>
      </c>
      <c r="C594" s="82" t="s">
        <v>272</v>
      </c>
      <c r="D594" s="81" t="s">
        <v>273</v>
      </c>
      <c r="E594" s="82" t="s">
        <v>23</v>
      </c>
      <c r="F594" s="84">
        <f>F593</f>
        <v>69.312000000000012</v>
      </c>
      <c r="G594" s="85"/>
      <c r="H594" s="85"/>
    </row>
    <row r="595" spans="1:8">
      <c r="A595" s="86" t="s">
        <v>561</v>
      </c>
      <c r="B595" s="82" t="s">
        <v>86</v>
      </c>
      <c r="C595" s="82" t="s">
        <v>638</v>
      </c>
      <c r="D595" s="81" t="s">
        <v>639</v>
      </c>
      <c r="E595" s="82" t="s">
        <v>23</v>
      </c>
      <c r="F595" s="84">
        <f>F591</f>
        <v>331.36849999999993</v>
      </c>
      <c r="G595" s="85"/>
      <c r="H595" s="85"/>
    </row>
    <row r="596" spans="1:8">
      <c r="A596" s="86" t="s">
        <v>640</v>
      </c>
      <c r="B596" s="82" t="s">
        <v>86</v>
      </c>
      <c r="C596" s="82" t="s">
        <v>641</v>
      </c>
      <c r="D596" s="81" t="s">
        <v>642</v>
      </c>
      <c r="E596" s="82" t="s">
        <v>23</v>
      </c>
      <c r="F596" s="84">
        <f>F586*2</f>
        <v>7.0400000000000009</v>
      </c>
      <c r="G596" s="85"/>
      <c r="H596" s="85"/>
    </row>
    <row r="597" spans="1:8">
      <c r="A597" s="86"/>
      <c r="B597" s="82"/>
      <c r="C597" s="82"/>
      <c r="D597" s="89" t="s">
        <v>283</v>
      </c>
      <c r="E597" s="82"/>
      <c r="F597" s="84"/>
      <c r="G597" s="85"/>
      <c r="H597" s="22"/>
    </row>
    <row r="598" spans="1:8">
      <c r="A598" s="10">
        <v>12</v>
      </c>
      <c r="B598" s="13"/>
      <c r="C598" s="13"/>
      <c r="D598" s="7" t="s">
        <v>284</v>
      </c>
      <c r="E598" s="13"/>
      <c r="F598" s="13"/>
      <c r="G598" s="18"/>
      <c r="H598" s="80"/>
    </row>
    <row r="599" spans="1:8">
      <c r="A599" s="86" t="s">
        <v>285</v>
      </c>
      <c r="B599" s="82" t="s">
        <v>86</v>
      </c>
      <c r="C599" s="82" t="s">
        <v>643</v>
      </c>
      <c r="D599" s="92" t="s">
        <v>644</v>
      </c>
      <c r="E599" s="82" t="s">
        <v>27</v>
      </c>
      <c r="F599" s="84">
        <f>0.9*6</f>
        <v>5.4</v>
      </c>
      <c r="G599" s="85"/>
      <c r="H599" s="85"/>
    </row>
    <row r="600" spans="1:8">
      <c r="A600" s="86" t="s">
        <v>288</v>
      </c>
      <c r="B600" s="82" t="s">
        <v>86</v>
      </c>
      <c r="C600" s="82" t="s">
        <v>321</v>
      </c>
      <c r="D600" s="92" t="s">
        <v>645</v>
      </c>
      <c r="E600" s="82" t="s">
        <v>27</v>
      </c>
      <c r="F600" s="84">
        <v>1.6</v>
      </c>
      <c r="G600" s="85"/>
      <c r="H600" s="85"/>
    </row>
    <row r="601" spans="1:8">
      <c r="A601" s="86"/>
      <c r="B601" s="82"/>
      <c r="C601" s="82"/>
      <c r="D601" s="89" t="s">
        <v>364</v>
      </c>
      <c r="E601" s="82"/>
      <c r="F601" s="82"/>
      <c r="G601" s="85"/>
      <c r="H601" s="22"/>
    </row>
    <row r="602" spans="1:8">
      <c r="A602" s="10">
        <v>13</v>
      </c>
      <c r="B602" s="13"/>
      <c r="C602" s="13"/>
      <c r="D602" s="7" t="s">
        <v>646</v>
      </c>
      <c r="E602" s="13"/>
      <c r="F602" s="13"/>
      <c r="G602" s="18"/>
      <c r="H602" s="80"/>
    </row>
    <row r="603" spans="1:8" ht="29.25">
      <c r="A603" s="86" t="s">
        <v>365</v>
      </c>
      <c r="B603" s="82" t="s">
        <v>86</v>
      </c>
      <c r="C603" s="54" t="s">
        <v>366</v>
      </c>
      <c r="D603" s="92" t="s">
        <v>367</v>
      </c>
      <c r="E603" s="82" t="s">
        <v>26</v>
      </c>
      <c r="F603" s="84">
        <v>4</v>
      </c>
      <c r="G603" s="85"/>
      <c r="H603" s="85"/>
    </row>
    <row r="604" spans="1:8">
      <c r="A604" s="86" t="s">
        <v>368</v>
      </c>
      <c r="B604" s="82" t="s">
        <v>86</v>
      </c>
      <c r="C604" s="54" t="s">
        <v>371</v>
      </c>
      <c r="D604" s="92" t="s">
        <v>372</v>
      </c>
      <c r="E604" s="82" t="s">
        <v>26</v>
      </c>
      <c r="F604" s="84">
        <f>(F603*2)+F605</f>
        <v>13</v>
      </c>
      <c r="G604" s="85"/>
      <c r="H604" s="85"/>
    </row>
    <row r="605" spans="1:8">
      <c r="A605" s="86" t="s">
        <v>370</v>
      </c>
      <c r="B605" s="82" t="s">
        <v>86</v>
      </c>
      <c r="C605" s="54" t="s">
        <v>377</v>
      </c>
      <c r="D605" s="92" t="s">
        <v>378</v>
      </c>
      <c r="E605" s="82" t="s">
        <v>26</v>
      </c>
      <c r="F605" s="84">
        <v>5</v>
      </c>
      <c r="G605" s="85"/>
      <c r="H605" s="85"/>
    </row>
    <row r="606" spans="1:8" ht="29.25">
      <c r="A606" s="86" t="s">
        <v>373</v>
      </c>
      <c r="B606" s="82" t="s">
        <v>86</v>
      </c>
      <c r="C606" s="54" t="s">
        <v>380</v>
      </c>
      <c r="D606" s="92" t="s">
        <v>381</v>
      </c>
      <c r="E606" s="82" t="s">
        <v>26</v>
      </c>
      <c r="F606" s="84">
        <v>1</v>
      </c>
      <c r="G606" s="85"/>
      <c r="H606" s="85"/>
    </row>
    <row r="607" spans="1:8">
      <c r="A607" s="86" t="s">
        <v>376</v>
      </c>
      <c r="B607" s="82" t="s">
        <v>86</v>
      </c>
      <c r="C607" s="54" t="s">
        <v>383</v>
      </c>
      <c r="D607" s="92" t="s">
        <v>384</v>
      </c>
      <c r="E607" s="82" t="s">
        <v>26</v>
      </c>
      <c r="F607" s="84">
        <v>2</v>
      </c>
      <c r="G607" s="85"/>
      <c r="H607" s="85"/>
    </row>
    <row r="608" spans="1:8">
      <c r="A608" s="86" t="s">
        <v>379</v>
      </c>
      <c r="B608" s="82" t="s">
        <v>86</v>
      </c>
      <c r="C608" s="54" t="s">
        <v>386</v>
      </c>
      <c r="D608" s="92" t="s">
        <v>387</v>
      </c>
      <c r="E608" s="82" t="s">
        <v>26</v>
      </c>
      <c r="F608" s="84">
        <v>8</v>
      </c>
      <c r="G608" s="85"/>
      <c r="H608" s="85"/>
    </row>
    <row r="609" spans="1:8">
      <c r="A609" s="86" t="s">
        <v>382</v>
      </c>
      <c r="B609" s="82" t="s">
        <v>86</v>
      </c>
      <c r="C609" s="54" t="s">
        <v>389</v>
      </c>
      <c r="D609" s="92" t="s">
        <v>390</v>
      </c>
      <c r="E609" s="82" t="s">
        <v>27</v>
      </c>
      <c r="F609" s="84">
        <v>126.05</v>
      </c>
      <c r="G609" s="85"/>
      <c r="H609" s="85"/>
    </row>
    <row r="610" spans="1:8">
      <c r="A610" s="86" t="s">
        <v>385</v>
      </c>
      <c r="B610" s="82" t="s">
        <v>86</v>
      </c>
      <c r="C610" s="54" t="s">
        <v>392</v>
      </c>
      <c r="D610" s="92" t="s">
        <v>393</v>
      </c>
      <c r="E610" s="82" t="s">
        <v>27</v>
      </c>
      <c r="F610" s="84">
        <v>16.38</v>
      </c>
      <c r="G610" s="85"/>
      <c r="H610" s="85"/>
    </row>
    <row r="611" spans="1:8">
      <c r="A611" s="86" t="s">
        <v>388</v>
      </c>
      <c r="B611" s="82" t="s">
        <v>86</v>
      </c>
      <c r="C611" s="54" t="s">
        <v>396</v>
      </c>
      <c r="D611" s="92" t="s">
        <v>397</v>
      </c>
      <c r="E611" s="82" t="s">
        <v>27</v>
      </c>
      <c r="F611" s="84">
        <v>324.86</v>
      </c>
      <c r="G611" s="85"/>
      <c r="H611" s="85"/>
    </row>
    <row r="612" spans="1:8">
      <c r="A612" s="86" t="s">
        <v>391</v>
      </c>
      <c r="B612" s="82" t="s">
        <v>86</v>
      </c>
      <c r="C612" s="54" t="s">
        <v>399</v>
      </c>
      <c r="D612" s="92" t="s">
        <v>400</v>
      </c>
      <c r="E612" s="82" t="s">
        <v>27</v>
      </c>
      <c r="F612" s="84">
        <f>14.23+87.51</f>
        <v>101.74000000000001</v>
      </c>
      <c r="G612" s="85"/>
      <c r="H612" s="85"/>
    </row>
    <row r="613" spans="1:8" ht="29.25">
      <c r="A613" s="86" t="s">
        <v>394</v>
      </c>
      <c r="B613" s="82" t="s">
        <v>86</v>
      </c>
      <c r="C613" s="54" t="s">
        <v>402</v>
      </c>
      <c r="D613" s="92" t="s">
        <v>403</v>
      </c>
      <c r="E613" s="82" t="s">
        <v>27</v>
      </c>
      <c r="F613" s="84">
        <f>9.57+28.66</f>
        <v>38.230000000000004</v>
      </c>
      <c r="G613" s="85"/>
      <c r="H613" s="85"/>
    </row>
    <row r="614" spans="1:8">
      <c r="A614" s="86" t="s">
        <v>395</v>
      </c>
      <c r="B614" s="82" t="s">
        <v>86</v>
      </c>
      <c r="C614" s="54" t="s">
        <v>408</v>
      </c>
      <c r="D614" s="92" t="s">
        <v>409</v>
      </c>
      <c r="E614" s="82" t="s">
        <v>26</v>
      </c>
      <c r="F614" s="84">
        <f>F616+F617+F618+F619+F605</f>
        <v>15</v>
      </c>
      <c r="G614" s="85"/>
      <c r="H614" s="85"/>
    </row>
    <row r="615" spans="1:8">
      <c r="A615" s="86" t="s">
        <v>398</v>
      </c>
      <c r="B615" s="82" t="s">
        <v>86</v>
      </c>
      <c r="C615" s="54" t="s">
        <v>411</v>
      </c>
      <c r="D615" s="92" t="s">
        <v>412</v>
      </c>
      <c r="E615" s="82" t="s">
        <v>26</v>
      </c>
      <c r="F615" s="84">
        <v>4</v>
      </c>
      <c r="G615" s="85"/>
      <c r="H615" s="85"/>
    </row>
    <row r="616" spans="1:8">
      <c r="A616" s="86" t="s">
        <v>401</v>
      </c>
      <c r="B616" s="82" t="s">
        <v>86</v>
      </c>
      <c r="C616" s="54" t="s">
        <v>414</v>
      </c>
      <c r="D616" s="92" t="s">
        <v>415</v>
      </c>
      <c r="E616" s="82" t="s">
        <v>416</v>
      </c>
      <c r="F616" s="84">
        <v>1</v>
      </c>
      <c r="G616" s="85"/>
      <c r="H616" s="85"/>
    </row>
    <row r="617" spans="1:8">
      <c r="A617" s="86" t="s">
        <v>404</v>
      </c>
      <c r="B617" s="82" t="s">
        <v>86</v>
      </c>
      <c r="C617" s="54" t="s">
        <v>418</v>
      </c>
      <c r="D617" s="92" t="s">
        <v>419</v>
      </c>
      <c r="E617" s="82" t="s">
        <v>416</v>
      </c>
      <c r="F617" s="84">
        <v>3</v>
      </c>
      <c r="G617" s="85"/>
      <c r="H617" s="85"/>
    </row>
    <row r="618" spans="1:8">
      <c r="A618" s="86" t="s">
        <v>407</v>
      </c>
      <c r="B618" s="82" t="s">
        <v>86</v>
      </c>
      <c r="C618" s="54" t="s">
        <v>424</v>
      </c>
      <c r="D618" s="92" t="s">
        <v>425</v>
      </c>
      <c r="E618" s="82" t="s">
        <v>416</v>
      </c>
      <c r="F618" s="84">
        <v>3</v>
      </c>
      <c r="G618" s="85"/>
      <c r="H618" s="85"/>
    </row>
    <row r="619" spans="1:8">
      <c r="A619" s="86" t="s">
        <v>410</v>
      </c>
      <c r="B619" s="82" t="s">
        <v>86</v>
      </c>
      <c r="C619" s="54" t="s">
        <v>427</v>
      </c>
      <c r="D619" s="92" t="s">
        <v>428</v>
      </c>
      <c r="E619" s="82" t="s">
        <v>416</v>
      </c>
      <c r="F619" s="84">
        <v>3</v>
      </c>
      <c r="G619" s="85"/>
      <c r="H619" s="85"/>
    </row>
    <row r="620" spans="1:8">
      <c r="A620" s="86" t="s">
        <v>413</v>
      </c>
      <c r="B620" s="82" t="s">
        <v>86</v>
      </c>
      <c r="C620" s="54" t="s">
        <v>430</v>
      </c>
      <c r="D620" s="92" t="s">
        <v>431</v>
      </c>
      <c r="E620" s="82" t="s">
        <v>148</v>
      </c>
      <c r="F620" s="84">
        <f>(0.403*3)</f>
        <v>1.2090000000000001</v>
      </c>
      <c r="G620" s="85"/>
      <c r="H620" s="85"/>
    </row>
    <row r="621" spans="1:8">
      <c r="A621" s="86"/>
      <c r="B621" s="82"/>
      <c r="C621" s="54"/>
      <c r="D621" s="89" t="s">
        <v>435</v>
      </c>
      <c r="E621" s="82"/>
      <c r="F621" s="82"/>
      <c r="G621" s="85"/>
      <c r="H621" s="22"/>
    </row>
    <row r="622" spans="1:8">
      <c r="A622" s="10">
        <v>14</v>
      </c>
      <c r="B622" s="13"/>
      <c r="C622" s="13"/>
      <c r="D622" s="7" t="s">
        <v>647</v>
      </c>
      <c r="E622" s="13"/>
      <c r="F622" s="13"/>
      <c r="G622" s="18"/>
      <c r="H622" s="80"/>
    </row>
    <row r="623" spans="1:8">
      <c r="A623" s="86" t="s">
        <v>436</v>
      </c>
      <c r="B623" s="82" t="s">
        <v>86</v>
      </c>
      <c r="C623" s="112" t="s">
        <v>437</v>
      </c>
      <c r="D623" s="91" t="s">
        <v>438</v>
      </c>
      <c r="E623" s="82" t="s">
        <v>26</v>
      </c>
      <c r="F623" s="82">
        <v>1</v>
      </c>
      <c r="G623" s="85"/>
      <c r="H623" s="85"/>
    </row>
    <row r="624" spans="1:8">
      <c r="A624" s="86" t="s">
        <v>439</v>
      </c>
      <c r="B624" s="82" t="s">
        <v>86</v>
      </c>
      <c r="C624" s="213" t="s">
        <v>440</v>
      </c>
      <c r="D624" s="91" t="s">
        <v>441</v>
      </c>
      <c r="E624" s="82" t="s">
        <v>27</v>
      </c>
      <c r="F624" s="84">
        <f>3.9+7.2+4.26</f>
        <v>15.36</v>
      </c>
      <c r="G624" s="85"/>
      <c r="H624" s="85"/>
    </row>
    <row r="625" spans="1:8">
      <c r="A625" s="86" t="s">
        <v>442</v>
      </c>
      <c r="B625" s="213" t="s">
        <v>86</v>
      </c>
      <c r="C625" s="82" t="s">
        <v>1168</v>
      </c>
      <c r="D625" s="91" t="s">
        <v>1169</v>
      </c>
      <c r="E625" s="213" t="s">
        <v>27</v>
      </c>
      <c r="F625" s="84">
        <f>5.68+2</f>
        <v>7.68</v>
      </c>
      <c r="G625" s="85"/>
      <c r="H625" s="85"/>
    </row>
    <row r="626" spans="1:8">
      <c r="A626" s="86" t="s">
        <v>445</v>
      </c>
      <c r="B626" s="82" t="s">
        <v>86</v>
      </c>
      <c r="C626" s="213" t="s">
        <v>648</v>
      </c>
      <c r="D626" s="91" t="s">
        <v>649</v>
      </c>
      <c r="E626" s="82" t="s">
        <v>27</v>
      </c>
      <c r="F626" s="84">
        <f>2+4.43+2+4.43+2+3.55+1.5</f>
        <v>19.91</v>
      </c>
      <c r="G626" s="85"/>
      <c r="H626" s="85"/>
    </row>
    <row r="627" spans="1:8" ht="29.25">
      <c r="A627" s="86" t="s">
        <v>447</v>
      </c>
      <c r="B627" s="82" t="s">
        <v>86</v>
      </c>
      <c r="C627" s="222" t="s">
        <v>448</v>
      </c>
      <c r="D627" s="92" t="s">
        <v>1174</v>
      </c>
      <c r="E627" s="82" t="s">
        <v>27</v>
      </c>
      <c r="F627" s="221">
        <f>8.52+5.33+8.52+4.97+5+1.8</f>
        <v>34.139999999999993</v>
      </c>
      <c r="G627" s="85"/>
      <c r="H627" s="85"/>
    </row>
    <row r="628" spans="1:8">
      <c r="A628" s="86" t="s">
        <v>450</v>
      </c>
      <c r="B628" s="82" t="s">
        <v>86</v>
      </c>
      <c r="C628" s="82" t="s">
        <v>454</v>
      </c>
      <c r="D628" s="91" t="s">
        <v>455</v>
      </c>
      <c r="E628" s="82" t="s">
        <v>26</v>
      </c>
      <c r="F628" s="84">
        <v>3</v>
      </c>
      <c r="G628" s="85"/>
      <c r="H628" s="85"/>
    </row>
    <row r="629" spans="1:8">
      <c r="A629" s="86" t="s">
        <v>453</v>
      </c>
      <c r="B629" s="213" t="s">
        <v>86</v>
      </c>
      <c r="C629" s="82" t="s">
        <v>1172</v>
      </c>
      <c r="D629" s="91" t="s">
        <v>1173</v>
      </c>
      <c r="E629" s="213" t="s">
        <v>26</v>
      </c>
      <c r="F629" s="84">
        <v>1</v>
      </c>
      <c r="G629" s="85"/>
      <c r="H629" s="85"/>
    </row>
    <row r="630" spans="1:8">
      <c r="A630" s="86" t="s">
        <v>456</v>
      </c>
      <c r="B630" s="82" t="s">
        <v>86</v>
      </c>
      <c r="C630" s="82" t="s">
        <v>463</v>
      </c>
      <c r="D630" s="91" t="s">
        <v>464</v>
      </c>
      <c r="E630" s="82" t="s">
        <v>26</v>
      </c>
      <c r="F630" s="84">
        <v>1</v>
      </c>
      <c r="G630" s="85"/>
      <c r="H630" s="85"/>
    </row>
    <row r="631" spans="1:8">
      <c r="A631" s="86" t="s">
        <v>459</v>
      </c>
      <c r="B631" s="82" t="s">
        <v>86</v>
      </c>
      <c r="C631" s="82" t="s">
        <v>650</v>
      </c>
      <c r="D631" s="91" t="s">
        <v>651</v>
      </c>
      <c r="E631" s="82" t="s">
        <v>26</v>
      </c>
      <c r="F631" s="84">
        <v>3</v>
      </c>
      <c r="G631" s="85"/>
      <c r="H631" s="85"/>
    </row>
    <row r="632" spans="1:8">
      <c r="A632" s="86" t="s">
        <v>462</v>
      </c>
      <c r="B632" s="82" t="s">
        <v>86</v>
      </c>
      <c r="C632" s="82" t="s">
        <v>478</v>
      </c>
      <c r="D632" s="91" t="s">
        <v>479</v>
      </c>
      <c r="E632" s="82" t="s">
        <v>26</v>
      </c>
      <c r="F632" s="84">
        <v>2</v>
      </c>
      <c r="G632" s="85"/>
      <c r="H632" s="85"/>
    </row>
    <row r="633" spans="1:8" ht="29.25">
      <c r="A633" s="86" t="s">
        <v>465</v>
      </c>
      <c r="B633" s="82" t="s">
        <v>86</v>
      </c>
      <c r="C633" s="213" t="s">
        <v>1170</v>
      </c>
      <c r="D633" s="92" t="s">
        <v>1171</v>
      </c>
      <c r="E633" s="82" t="s">
        <v>26</v>
      </c>
      <c r="F633" s="84">
        <v>1</v>
      </c>
      <c r="G633" s="85"/>
      <c r="H633" s="85"/>
    </row>
    <row r="634" spans="1:8">
      <c r="A634" s="86"/>
      <c r="B634" s="82"/>
      <c r="C634" s="82"/>
      <c r="D634" s="89" t="s">
        <v>483</v>
      </c>
      <c r="E634" s="82"/>
      <c r="F634" s="84"/>
      <c r="G634" s="85"/>
      <c r="H634" s="22"/>
    </row>
    <row r="635" spans="1:8">
      <c r="A635" s="10">
        <v>15</v>
      </c>
      <c r="B635" s="13"/>
      <c r="C635" s="13"/>
      <c r="D635" s="7" t="s">
        <v>484</v>
      </c>
      <c r="E635" s="13"/>
      <c r="F635" s="13"/>
      <c r="G635" s="18"/>
      <c r="H635" s="80"/>
    </row>
    <row r="636" spans="1:8">
      <c r="A636" s="93" t="s">
        <v>485</v>
      </c>
      <c r="B636" s="82" t="s">
        <v>86</v>
      </c>
      <c r="C636" s="82" t="s">
        <v>489</v>
      </c>
      <c r="D636" s="91" t="s">
        <v>490</v>
      </c>
      <c r="E636" s="82" t="s">
        <v>26</v>
      </c>
      <c r="F636" s="82">
        <v>1</v>
      </c>
      <c r="G636" s="85"/>
      <c r="H636" s="85"/>
    </row>
    <row r="637" spans="1:8">
      <c r="A637" s="93" t="s">
        <v>488</v>
      </c>
      <c r="B637" s="82" t="s">
        <v>86</v>
      </c>
      <c r="C637" s="82" t="s">
        <v>495</v>
      </c>
      <c r="D637" s="91" t="s">
        <v>496</v>
      </c>
      <c r="E637" s="82" t="s">
        <v>26</v>
      </c>
      <c r="F637" s="82">
        <v>1</v>
      </c>
      <c r="G637" s="85"/>
      <c r="H637" s="85"/>
    </row>
    <row r="638" spans="1:8" ht="29.25">
      <c r="A638" s="93" t="s">
        <v>491</v>
      </c>
      <c r="B638" s="82" t="s">
        <v>86</v>
      </c>
      <c r="C638" s="82" t="s">
        <v>498</v>
      </c>
      <c r="D638" s="92" t="s">
        <v>499</v>
      </c>
      <c r="E638" s="82" t="s">
        <v>23</v>
      </c>
      <c r="F638" s="84">
        <f>(4*0.25)</f>
        <v>1</v>
      </c>
      <c r="G638" s="85"/>
      <c r="H638" s="85"/>
    </row>
    <row r="639" spans="1:8" ht="29.25">
      <c r="A639" s="93" t="s">
        <v>494</v>
      </c>
      <c r="B639" s="82" t="s">
        <v>86</v>
      </c>
      <c r="C639" s="82" t="s">
        <v>498</v>
      </c>
      <c r="D639" s="92" t="s">
        <v>499</v>
      </c>
      <c r="E639" s="82" t="s">
        <v>23</v>
      </c>
      <c r="F639" s="84">
        <f>5*0.25</f>
        <v>1.25</v>
      </c>
      <c r="G639" s="85"/>
      <c r="H639" s="85"/>
    </row>
    <row r="640" spans="1:8">
      <c r="A640" s="93"/>
      <c r="B640" s="82"/>
      <c r="C640" s="82"/>
      <c r="D640" s="32" t="s">
        <v>500</v>
      </c>
      <c r="E640" s="82"/>
      <c r="F640" s="84"/>
      <c r="G640" s="85"/>
      <c r="H640" s="22"/>
    </row>
    <row r="641" spans="1:8">
      <c r="A641" s="10">
        <v>16</v>
      </c>
      <c r="B641" s="13"/>
      <c r="C641" s="13"/>
      <c r="D641" s="7" t="s">
        <v>22</v>
      </c>
      <c r="E641" s="13"/>
      <c r="F641" s="13"/>
      <c r="G641" s="18"/>
      <c r="H641" s="80"/>
    </row>
    <row r="642" spans="1:8">
      <c r="A642" s="86" t="s">
        <v>502</v>
      </c>
      <c r="B642" s="256" t="s">
        <v>86</v>
      </c>
      <c r="C642" s="256" t="s">
        <v>28</v>
      </c>
      <c r="D642" s="81" t="s">
        <v>510</v>
      </c>
      <c r="E642" s="82" t="s">
        <v>23</v>
      </c>
      <c r="F642" s="84">
        <v>92.12</v>
      </c>
      <c r="G642" s="85"/>
      <c r="H642" s="85"/>
    </row>
    <row r="643" spans="1:8">
      <c r="A643" s="86"/>
      <c r="B643" s="82"/>
      <c r="C643" s="82"/>
      <c r="D643" s="31" t="s">
        <v>508</v>
      </c>
      <c r="E643" s="82"/>
      <c r="F643" s="84"/>
      <c r="G643" s="85"/>
      <c r="H643" s="22"/>
    </row>
    <row r="644" spans="1:8" ht="9" customHeight="1">
      <c r="A644" s="86"/>
      <c r="B644" s="86"/>
      <c r="C644" s="86"/>
      <c r="D644" s="86"/>
      <c r="E644" s="86"/>
      <c r="F644" s="86"/>
      <c r="G644" s="86"/>
      <c r="H644" s="86"/>
    </row>
    <row r="645" spans="1:8">
      <c r="A645" s="78"/>
      <c r="B645" s="94"/>
      <c r="C645" s="94"/>
      <c r="D645" s="102" t="s">
        <v>675</v>
      </c>
      <c r="E645" s="79"/>
      <c r="F645" s="94"/>
      <c r="G645" s="79"/>
      <c r="H645" s="18"/>
    </row>
    <row r="646" spans="1:8" ht="9" customHeight="1">
      <c r="A646" s="81"/>
      <c r="B646" s="81"/>
      <c r="C646" s="81"/>
      <c r="D646" s="81"/>
      <c r="E646" s="81"/>
      <c r="F646" s="81"/>
      <c r="G646" s="81"/>
      <c r="H646" s="81"/>
    </row>
    <row r="647" spans="1:8" ht="15" customHeight="1">
      <c r="A647" s="106" t="s">
        <v>686</v>
      </c>
      <c r="B647" s="7"/>
      <c r="C647" s="7"/>
      <c r="D647" s="97" t="s">
        <v>698</v>
      </c>
      <c r="E647" s="7"/>
      <c r="F647" s="7"/>
      <c r="G647" s="7"/>
      <c r="H647" s="7"/>
    </row>
    <row r="648" spans="1:8" ht="9" customHeight="1">
      <c r="A648" s="81"/>
      <c r="B648" s="81"/>
      <c r="C648" s="81"/>
      <c r="D648" s="81"/>
      <c r="E648" s="81"/>
      <c r="F648" s="81"/>
      <c r="G648" s="81"/>
      <c r="H648" s="81"/>
    </row>
    <row r="649" spans="1:8" ht="15" customHeight="1">
      <c r="A649" s="10">
        <v>1</v>
      </c>
      <c r="B649" s="7"/>
      <c r="C649" s="13"/>
      <c r="D649" s="10" t="s">
        <v>1025</v>
      </c>
      <c r="E649" s="13"/>
      <c r="F649" s="171"/>
      <c r="G649" s="13"/>
      <c r="H649" s="13"/>
    </row>
    <row r="650" spans="1:8" ht="30" customHeight="1">
      <c r="A650" s="220" t="s">
        <v>9</v>
      </c>
      <c r="B650" s="165" t="s">
        <v>86</v>
      </c>
      <c r="C650" s="165" t="s">
        <v>1031</v>
      </c>
      <c r="D650" s="170" t="s">
        <v>1039</v>
      </c>
      <c r="E650" s="165" t="s">
        <v>1040</v>
      </c>
      <c r="F650" s="167">
        <v>12</v>
      </c>
      <c r="G650" s="169"/>
      <c r="H650" s="169"/>
    </row>
    <row r="651" spans="1:8" ht="15" customHeight="1">
      <c r="A651" s="164"/>
      <c r="B651" s="81"/>
      <c r="C651" s="82"/>
      <c r="D651" s="31" t="s">
        <v>33</v>
      </c>
      <c r="E651" s="82"/>
      <c r="F651" s="167"/>
      <c r="G651" s="82"/>
      <c r="H651" s="23"/>
    </row>
    <row r="652" spans="1:8" ht="15" customHeight="1">
      <c r="A652" s="10">
        <v>2</v>
      </c>
      <c r="B652" s="10"/>
      <c r="C652" s="13"/>
      <c r="D652" s="10" t="s">
        <v>1026</v>
      </c>
      <c r="E652" s="13"/>
      <c r="F652" s="171"/>
      <c r="G652" s="13"/>
      <c r="H652" s="13"/>
    </row>
    <row r="653" spans="1:8" ht="45" customHeight="1">
      <c r="A653" s="227" t="s">
        <v>14</v>
      </c>
      <c r="B653" s="186" t="s">
        <v>86</v>
      </c>
      <c r="C653" s="165" t="s">
        <v>695</v>
      </c>
      <c r="D653" s="187" t="s">
        <v>696</v>
      </c>
      <c r="E653" s="186" t="s">
        <v>23</v>
      </c>
      <c r="F653" s="167">
        <v>15799</v>
      </c>
      <c r="G653" s="169"/>
      <c r="H653" s="169"/>
    </row>
    <row r="654" spans="1:8" ht="15" customHeight="1">
      <c r="A654" s="81"/>
      <c r="B654" s="82"/>
      <c r="C654" s="82"/>
      <c r="D654" s="31" t="s">
        <v>34</v>
      </c>
      <c r="E654" s="82"/>
      <c r="F654" s="167"/>
      <c r="G654" s="82"/>
      <c r="H654" s="23"/>
    </row>
    <row r="655" spans="1:8" ht="15" customHeight="1">
      <c r="A655" s="10">
        <v>3</v>
      </c>
      <c r="B655" s="13"/>
      <c r="C655" s="13"/>
      <c r="D655" s="10" t="s">
        <v>1027</v>
      </c>
      <c r="E655" s="13"/>
      <c r="F655" s="171"/>
      <c r="G655" s="13"/>
      <c r="H655" s="13"/>
    </row>
    <row r="656" spans="1:8" ht="15" customHeight="1">
      <c r="A656" s="220" t="s">
        <v>15</v>
      </c>
      <c r="B656" s="165" t="s">
        <v>86</v>
      </c>
      <c r="C656" s="165" t="s">
        <v>1032</v>
      </c>
      <c r="D656" s="81" t="s">
        <v>1041</v>
      </c>
      <c r="E656" s="165" t="s">
        <v>25</v>
      </c>
      <c r="F656" s="167">
        <v>519.54</v>
      </c>
      <c r="G656" s="169"/>
      <c r="H656" s="169"/>
    </row>
    <row r="657" spans="1:8" ht="30" customHeight="1">
      <c r="A657" s="220" t="s">
        <v>47</v>
      </c>
      <c r="B657" s="165" t="s">
        <v>86</v>
      </c>
      <c r="C657" s="165" t="s">
        <v>1033</v>
      </c>
      <c r="D657" s="170" t="s">
        <v>1042</v>
      </c>
      <c r="E657" s="165" t="s">
        <v>25</v>
      </c>
      <c r="F657" s="167">
        <v>519.54</v>
      </c>
      <c r="G657" s="169"/>
      <c r="H657" s="169"/>
    </row>
    <row r="658" spans="1:8" ht="15" customHeight="1">
      <c r="A658" s="81"/>
      <c r="B658" s="82"/>
      <c r="C658" s="82"/>
      <c r="D658" s="31" t="s">
        <v>35</v>
      </c>
      <c r="E658" s="82"/>
      <c r="F658" s="167"/>
      <c r="G658" s="82"/>
      <c r="H658" s="23"/>
    </row>
    <row r="659" spans="1:8" ht="15" customHeight="1">
      <c r="A659" s="10">
        <v>4</v>
      </c>
      <c r="B659" s="13"/>
      <c r="C659" s="13"/>
      <c r="D659" s="10" t="s">
        <v>1028</v>
      </c>
      <c r="E659" s="13"/>
      <c r="F659" s="171"/>
      <c r="G659" s="13"/>
      <c r="H659" s="13"/>
    </row>
    <row r="660" spans="1:8" ht="45" customHeight="1">
      <c r="A660" s="220" t="s">
        <v>16</v>
      </c>
      <c r="B660" s="165" t="s">
        <v>86</v>
      </c>
      <c r="C660" s="165" t="s">
        <v>1034</v>
      </c>
      <c r="D660" s="170" t="s">
        <v>1043</v>
      </c>
      <c r="E660" s="165" t="s">
        <v>25</v>
      </c>
      <c r="F660" s="167">
        <v>258.39999999999998</v>
      </c>
      <c r="G660" s="169"/>
      <c r="H660" s="169"/>
    </row>
    <row r="661" spans="1:8" ht="45" customHeight="1">
      <c r="A661" s="220" t="s">
        <v>17</v>
      </c>
      <c r="B661" s="165" t="s">
        <v>86</v>
      </c>
      <c r="C661" s="165" t="s">
        <v>1044</v>
      </c>
      <c r="D661" s="170" t="s">
        <v>1045</v>
      </c>
      <c r="E661" s="165" t="s">
        <v>25</v>
      </c>
      <c r="F661" s="167">
        <v>117</v>
      </c>
      <c r="G661" s="169"/>
      <c r="H661" s="169"/>
    </row>
    <row r="662" spans="1:8" ht="30" customHeight="1">
      <c r="A662" s="220" t="s">
        <v>93</v>
      </c>
      <c r="B662" s="165" t="s">
        <v>86</v>
      </c>
      <c r="C662" s="165" t="s">
        <v>1035</v>
      </c>
      <c r="D662" s="90" t="s">
        <v>1046</v>
      </c>
      <c r="E662" s="165" t="s">
        <v>23</v>
      </c>
      <c r="F662" s="167">
        <v>460</v>
      </c>
      <c r="G662" s="169"/>
      <c r="H662" s="169"/>
    </row>
    <row r="663" spans="1:8" ht="15" customHeight="1">
      <c r="A663" s="81"/>
      <c r="B663" s="82"/>
      <c r="C663" s="82"/>
      <c r="D663" s="31" t="s">
        <v>36</v>
      </c>
      <c r="E663" s="82"/>
      <c r="F663" s="167"/>
      <c r="G663" s="82"/>
      <c r="H663" s="23"/>
    </row>
    <row r="664" spans="1:8" ht="15" customHeight="1">
      <c r="A664" s="10">
        <v>5</v>
      </c>
      <c r="B664" s="13"/>
      <c r="C664" s="13"/>
      <c r="D664" s="10" t="s">
        <v>1029</v>
      </c>
      <c r="E664" s="13"/>
      <c r="F664" s="171"/>
      <c r="G664" s="13"/>
      <c r="H664" s="13"/>
    </row>
    <row r="665" spans="1:8" ht="15" customHeight="1">
      <c r="A665" s="220" t="s">
        <v>18</v>
      </c>
      <c r="B665" s="165" t="s">
        <v>86</v>
      </c>
      <c r="C665" s="165" t="s">
        <v>513</v>
      </c>
      <c r="D665" s="81" t="s">
        <v>514</v>
      </c>
      <c r="E665" s="165" t="s">
        <v>25</v>
      </c>
      <c r="F665" s="167">
        <v>122.63</v>
      </c>
      <c r="G665" s="169"/>
      <c r="H665" s="169"/>
    </row>
    <row r="666" spans="1:8" ht="30" customHeight="1">
      <c r="A666" s="220" t="s">
        <v>52</v>
      </c>
      <c r="B666" s="165" t="s">
        <v>86</v>
      </c>
      <c r="C666" s="165" t="s">
        <v>1036</v>
      </c>
      <c r="D666" s="170" t="s">
        <v>1047</v>
      </c>
      <c r="E666" s="165" t="s">
        <v>25</v>
      </c>
      <c r="F666" s="167">
        <v>122.63</v>
      </c>
      <c r="G666" s="169"/>
      <c r="H666" s="169"/>
    </row>
    <row r="667" spans="1:8" ht="15" customHeight="1">
      <c r="A667" s="220" t="s">
        <v>54</v>
      </c>
      <c r="B667" s="165" t="s">
        <v>86</v>
      </c>
      <c r="C667" s="165" t="s">
        <v>1037</v>
      </c>
      <c r="D667" s="81" t="s">
        <v>1048</v>
      </c>
      <c r="E667" s="165" t="s">
        <v>25</v>
      </c>
      <c r="F667" s="167">
        <v>122.63</v>
      </c>
      <c r="G667" s="169"/>
      <c r="H667" s="169"/>
    </row>
    <row r="668" spans="1:8" ht="15" customHeight="1">
      <c r="A668" s="81"/>
      <c r="B668" s="82"/>
      <c r="C668" s="82"/>
      <c r="D668" s="31" t="s">
        <v>60</v>
      </c>
      <c r="E668" s="82"/>
      <c r="F668" s="167"/>
      <c r="G668" s="169"/>
      <c r="H668" s="23"/>
    </row>
    <row r="669" spans="1:8" ht="15" customHeight="1">
      <c r="A669" s="10">
        <v>6</v>
      </c>
      <c r="B669" s="13"/>
      <c r="C669" s="13"/>
      <c r="D669" s="10" t="s">
        <v>1030</v>
      </c>
      <c r="E669" s="13"/>
      <c r="F669" s="171"/>
      <c r="G669" s="168"/>
      <c r="H669" s="13"/>
    </row>
    <row r="670" spans="1:8" ht="15" customHeight="1">
      <c r="A670" s="220" t="s">
        <v>62</v>
      </c>
      <c r="B670" s="165" t="s">
        <v>86</v>
      </c>
      <c r="C670" s="165" t="s">
        <v>1038</v>
      </c>
      <c r="D670" s="81" t="s">
        <v>1049</v>
      </c>
      <c r="E670" s="165" t="s">
        <v>23</v>
      </c>
      <c r="F670" s="167">
        <v>2050</v>
      </c>
      <c r="G670" s="169"/>
      <c r="H670" s="169"/>
    </row>
    <row r="671" spans="1:8" ht="15" customHeight="1">
      <c r="A671" s="220" t="s">
        <v>64</v>
      </c>
      <c r="B671" s="186" t="s">
        <v>1073</v>
      </c>
      <c r="C671" s="256" t="s">
        <v>1074</v>
      </c>
      <c r="D671" s="81" t="s">
        <v>1075</v>
      </c>
      <c r="E671" s="186" t="s">
        <v>1076</v>
      </c>
      <c r="F671" s="167">
        <v>2.38</v>
      </c>
      <c r="G671" s="169"/>
      <c r="H671" s="169"/>
    </row>
    <row r="672" spans="1:8" ht="15" customHeight="1">
      <c r="A672" s="164"/>
      <c r="B672" s="82"/>
      <c r="C672" s="81"/>
      <c r="D672" s="31" t="s">
        <v>66</v>
      </c>
      <c r="E672" s="82"/>
      <c r="F672" s="167"/>
      <c r="G672" s="82"/>
      <c r="H672" s="172"/>
    </row>
    <row r="673" spans="1:8" ht="9" customHeight="1">
      <c r="A673" s="81"/>
      <c r="B673" s="82"/>
      <c r="C673" s="81"/>
      <c r="D673" s="81"/>
      <c r="E673" s="82"/>
      <c r="F673" s="166"/>
      <c r="G673" s="82"/>
      <c r="H673" s="82"/>
    </row>
    <row r="674" spans="1:8" ht="15" customHeight="1">
      <c r="A674" s="79"/>
      <c r="B674" s="79"/>
      <c r="C674" s="79"/>
      <c r="D674" s="102" t="s">
        <v>687</v>
      </c>
      <c r="E674" s="79"/>
      <c r="F674" s="79"/>
      <c r="G674" s="94"/>
      <c r="H674" s="168"/>
    </row>
    <row r="675" spans="1:8" ht="9" customHeight="1">
      <c r="A675" s="81"/>
      <c r="B675" s="81"/>
      <c r="C675" s="81"/>
      <c r="D675" s="81"/>
      <c r="E675" s="81"/>
      <c r="F675" s="81"/>
      <c r="G675" s="81"/>
      <c r="H675" s="81"/>
    </row>
    <row r="676" spans="1:8" ht="15" customHeight="1">
      <c r="A676" s="106" t="s">
        <v>688</v>
      </c>
      <c r="B676" s="96"/>
      <c r="C676" s="96"/>
      <c r="D676" s="156" t="s">
        <v>79</v>
      </c>
      <c r="E676" s="120"/>
      <c r="F676" s="124"/>
      <c r="G676" s="115"/>
      <c r="H676" s="18"/>
    </row>
    <row r="677" spans="1:8" ht="9" customHeight="1">
      <c r="A677" s="157"/>
      <c r="B677" s="122"/>
      <c r="C677" s="122"/>
      <c r="D677" s="158"/>
      <c r="E677" s="122"/>
      <c r="F677" s="159"/>
      <c r="G677" s="160"/>
      <c r="H677" s="101"/>
    </row>
    <row r="678" spans="1:8" ht="15" customHeight="1">
      <c r="A678" s="10">
        <v>1</v>
      </c>
      <c r="B678" s="120"/>
      <c r="C678" s="120"/>
      <c r="D678" s="125" t="s">
        <v>986</v>
      </c>
      <c r="E678" s="120"/>
      <c r="F678" s="124"/>
      <c r="G678" s="115"/>
      <c r="H678" s="18"/>
    </row>
    <row r="679" spans="1:8" ht="15" customHeight="1">
      <c r="A679" s="161" t="s">
        <v>9</v>
      </c>
      <c r="B679" s="112" t="s">
        <v>690</v>
      </c>
      <c r="C679" s="112" t="s">
        <v>691</v>
      </c>
      <c r="D679" s="28" t="s">
        <v>692</v>
      </c>
      <c r="E679" s="112" t="s">
        <v>26</v>
      </c>
      <c r="F679" s="116">
        <v>1</v>
      </c>
      <c r="G679" s="173"/>
      <c r="H679" s="128"/>
    </row>
    <row r="680" spans="1:8" ht="15" customHeight="1">
      <c r="A680" s="161" t="s">
        <v>10</v>
      </c>
      <c r="B680" s="165" t="s">
        <v>86</v>
      </c>
      <c r="C680" s="181" t="s">
        <v>655</v>
      </c>
      <c r="D680" s="28" t="s">
        <v>656</v>
      </c>
      <c r="E680" s="181" t="s">
        <v>25</v>
      </c>
      <c r="F680" s="116">
        <f>(0.06*210)</f>
        <v>12.6</v>
      </c>
      <c r="G680" s="173"/>
      <c r="H680" s="128"/>
    </row>
    <row r="681" spans="1:8" ht="15" customHeight="1">
      <c r="A681" s="161" t="s">
        <v>11</v>
      </c>
      <c r="B681" s="165" t="s">
        <v>86</v>
      </c>
      <c r="C681" s="181" t="s">
        <v>1065</v>
      </c>
      <c r="D681" s="28" t="s">
        <v>1066</v>
      </c>
      <c r="E681" s="181" t="s">
        <v>25</v>
      </c>
      <c r="F681" s="182">
        <f>(0.1*210)</f>
        <v>21</v>
      </c>
      <c r="G681" s="173"/>
      <c r="H681" s="128"/>
    </row>
    <row r="682" spans="1:8" ht="15" customHeight="1">
      <c r="A682" s="118"/>
      <c r="B682" s="112"/>
      <c r="C682" s="112"/>
      <c r="D682" s="32" t="s">
        <v>33</v>
      </c>
      <c r="E682" s="112"/>
      <c r="F682" s="116"/>
      <c r="G682" s="117"/>
      <c r="H682" s="22"/>
    </row>
    <row r="683" spans="1:8" ht="9" customHeight="1">
      <c r="A683" s="121"/>
      <c r="B683" s="122"/>
      <c r="C683" s="122"/>
      <c r="D683" s="123"/>
      <c r="E683" s="122"/>
      <c r="F683" s="122"/>
      <c r="G683" s="123"/>
      <c r="H683" s="123"/>
    </row>
    <row r="684" spans="1:8" ht="15" customHeight="1">
      <c r="A684" s="119"/>
      <c r="B684" s="120"/>
      <c r="C684" s="120"/>
      <c r="D684" s="102" t="s">
        <v>689</v>
      </c>
      <c r="E684" s="120"/>
      <c r="F684" s="120"/>
      <c r="G684" s="114"/>
      <c r="H684" s="18"/>
    </row>
    <row r="685" spans="1:8" ht="9" customHeight="1">
      <c r="A685" s="121"/>
      <c r="B685" s="122"/>
      <c r="C685" s="122"/>
      <c r="D685" s="123"/>
      <c r="E685" s="122"/>
      <c r="F685" s="122"/>
      <c r="G685" s="123"/>
      <c r="H685" s="123"/>
    </row>
    <row r="686" spans="1:8" ht="15" customHeight="1">
      <c r="A686" s="106" t="s">
        <v>1079</v>
      </c>
      <c r="B686" s="13"/>
      <c r="C686" s="13"/>
      <c r="D686" s="95" t="s">
        <v>1080</v>
      </c>
      <c r="E686" s="13"/>
      <c r="F686" s="13"/>
      <c r="G686" s="7"/>
      <c r="H686" s="7"/>
    </row>
    <row r="687" spans="1:8" ht="9" customHeight="1">
      <c r="A687" s="197"/>
      <c r="B687" s="191"/>
      <c r="C687" s="191"/>
      <c r="D687" s="198"/>
      <c r="E687" s="191"/>
      <c r="F687" s="191"/>
      <c r="G687" s="192"/>
      <c r="H687" s="192"/>
    </row>
    <row r="688" spans="1:8" ht="15" customHeight="1">
      <c r="A688" s="10">
        <v>1</v>
      </c>
      <c r="B688" s="195"/>
      <c r="C688" s="195"/>
      <c r="D688" s="10" t="s">
        <v>1086</v>
      </c>
      <c r="E688" s="195"/>
      <c r="F688" s="195"/>
      <c r="G688" s="196"/>
      <c r="H688" s="196"/>
    </row>
    <row r="689" spans="1:8" ht="30" customHeight="1">
      <c r="A689" s="190" t="s">
        <v>9</v>
      </c>
      <c r="B689" s="165" t="s">
        <v>86</v>
      </c>
      <c r="C689" s="191" t="s">
        <v>695</v>
      </c>
      <c r="D689" s="193" t="s">
        <v>696</v>
      </c>
      <c r="E689" s="191" t="s">
        <v>23</v>
      </c>
      <c r="F689" s="159">
        <f>(175*7)</f>
        <v>1225</v>
      </c>
      <c r="G689" s="160"/>
      <c r="H689" s="160"/>
    </row>
    <row r="690" spans="1:8" ht="30" customHeight="1">
      <c r="A690" s="190" t="s">
        <v>10</v>
      </c>
      <c r="B690" s="260" t="s">
        <v>86</v>
      </c>
      <c r="C690" s="122" t="s">
        <v>1242</v>
      </c>
      <c r="D690" s="259" t="s">
        <v>1241</v>
      </c>
      <c r="E690" s="261" t="s">
        <v>25</v>
      </c>
      <c r="F690" s="159">
        <f>(175*7*0.3)</f>
        <v>367.5</v>
      </c>
      <c r="G690" s="160"/>
      <c r="H690" s="160"/>
    </row>
    <row r="691" spans="1:8" ht="30" customHeight="1">
      <c r="A691" s="190" t="s">
        <v>11</v>
      </c>
      <c r="B691" s="165" t="s">
        <v>86</v>
      </c>
      <c r="C691" s="122" t="s">
        <v>1239</v>
      </c>
      <c r="D691" s="259" t="s">
        <v>1240</v>
      </c>
      <c r="E691" s="191" t="s">
        <v>25</v>
      </c>
      <c r="F691" s="159">
        <f>(175*7*0.3)</f>
        <v>367.5</v>
      </c>
      <c r="G691" s="160"/>
      <c r="H691" s="160"/>
    </row>
    <row r="692" spans="1:8" ht="15" customHeight="1">
      <c r="A692" s="190" t="s">
        <v>12</v>
      </c>
      <c r="B692" s="165" t="s">
        <v>86</v>
      </c>
      <c r="C692" s="122" t="s">
        <v>1082</v>
      </c>
      <c r="D692" s="194" t="s">
        <v>1083</v>
      </c>
      <c r="E692" s="203" t="s">
        <v>25</v>
      </c>
      <c r="F692" s="159">
        <f>(175*7*0.15)</f>
        <v>183.75</v>
      </c>
      <c r="G692" s="160"/>
      <c r="H692" s="160"/>
    </row>
    <row r="693" spans="1:8" ht="15" customHeight="1">
      <c r="A693" s="190" t="s">
        <v>1008</v>
      </c>
      <c r="B693" s="165" t="s">
        <v>86</v>
      </c>
      <c r="C693" s="122" t="s">
        <v>1234</v>
      </c>
      <c r="D693" s="123" t="s">
        <v>1235</v>
      </c>
      <c r="E693" s="203" t="s">
        <v>23</v>
      </c>
      <c r="F693" s="159">
        <f>(175*7)</f>
        <v>1225</v>
      </c>
      <c r="G693" s="160"/>
      <c r="H693" s="160"/>
    </row>
    <row r="694" spans="1:8" ht="15" customHeight="1">
      <c r="A694" s="190" t="s">
        <v>1009</v>
      </c>
      <c r="B694" s="165" t="s">
        <v>86</v>
      </c>
      <c r="C694" s="122" t="s">
        <v>1259</v>
      </c>
      <c r="D694" s="123" t="s">
        <v>1260</v>
      </c>
      <c r="E694" s="268" t="s">
        <v>23</v>
      </c>
      <c r="F694" s="159">
        <f>(175*7)</f>
        <v>1225</v>
      </c>
      <c r="G694" s="160"/>
      <c r="H694" s="160"/>
    </row>
    <row r="695" spans="1:8" ht="15" customHeight="1">
      <c r="A695" s="190" t="s">
        <v>1078</v>
      </c>
      <c r="B695" s="165" t="s">
        <v>86</v>
      </c>
      <c r="C695" s="122" t="s">
        <v>1084</v>
      </c>
      <c r="D695" s="123" t="s">
        <v>1085</v>
      </c>
      <c r="E695" s="191" t="s">
        <v>25</v>
      </c>
      <c r="F695" s="159">
        <f>(175*7*0.05)</f>
        <v>61.25</v>
      </c>
      <c r="G695" s="160"/>
      <c r="H695" s="160"/>
    </row>
    <row r="696" spans="1:8" ht="15" customHeight="1">
      <c r="A696" s="190" t="s">
        <v>1081</v>
      </c>
      <c r="B696" s="165" t="s">
        <v>86</v>
      </c>
      <c r="C696" s="122" t="s">
        <v>1088</v>
      </c>
      <c r="D696" s="123" t="s">
        <v>1089</v>
      </c>
      <c r="E696" s="191" t="s">
        <v>27</v>
      </c>
      <c r="F696" s="159">
        <f>(175*2)</f>
        <v>350</v>
      </c>
      <c r="G696" s="160"/>
      <c r="H696" s="160"/>
    </row>
    <row r="697" spans="1:8" ht="15" customHeight="1">
      <c r="A697" s="190" t="s">
        <v>1091</v>
      </c>
      <c r="B697" s="165" t="s">
        <v>86</v>
      </c>
      <c r="C697" s="122" t="s">
        <v>1090</v>
      </c>
      <c r="D697" s="123" t="s">
        <v>1092</v>
      </c>
      <c r="E697" s="203" t="s">
        <v>23</v>
      </c>
      <c r="F697" s="159">
        <f>(175*1*2)</f>
        <v>350</v>
      </c>
      <c r="G697" s="160"/>
      <c r="H697" s="160"/>
    </row>
    <row r="698" spans="1:8" ht="15" customHeight="1">
      <c r="A698" s="190" t="s">
        <v>1094</v>
      </c>
      <c r="B698" s="204" t="s">
        <v>86</v>
      </c>
      <c r="C698" s="261" t="s">
        <v>1093</v>
      </c>
      <c r="D698" s="123" t="s">
        <v>1095</v>
      </c>
      <c r="E698" s="203" t="s">
        <v>26</v>
      </c>
      <c r="F698" s="159">
        <v>2</v>
      </c>
      <c r="G698" s="160"/>
      <c r="H698" s="160"/>
    </row>
    <row r="699" spans="1:8" ht="15" customHeight="1">
      <c r="A699" s="190"/>
      <c r="B699" s="122"/>
      <c r="C699" s="122"/>
      <c r="D699" s="32" t="s">
        <v>33</v>
      </c>
      <c r="E699" s="122"/>
      <c r="F699" s="122"/>
      <c r="G699" s="123"/>
      <c r="H699" s="101"/>
    </row>
    <row r="700" spans="1:8" ht="9" customHeight="1">
      <c r="A700" s="190"/>
      <c r="B700" s="122"/>
      <c r="C700" s="122"/>
      <c r="D700" s="32"/>
      <c r="E700" s="122"/>
      <c r="F700" s="122"/>
      <c r="G700" s="123"/>
      <c r="H700" s="101"/>
    </row>
    <row r="701" spans="1:8" ht="15" customHeight="1">
      <c r="A701" s="79"/>
      <c r="B701" s="79"/>
      <c r="C701" s="79"/>
      <c r="D701" s="102" t="s">
        <v>1087</v>
      </c>
      <c r="E701" s="79"/>
      <c r="F701" s="79"/>
      <c r="G701" s="79"/>
      <c r="H701" s="57"/>
    </row>
    <row r="702" spans="1:8" ht="9" customHeight="1">
      <c r="A702" s="81"/>
      <c r="B702" s="81"/>
      <c r="C702" s="81"/>
      <c r="D702" s="81"/>
      <c r="E702" s="81"/>
      <c r="F702" s="81"/>
      <c r="G702" s="81"/>
      <c r="H702" s="81"/>
    </row>
    <row r="703" spans="1:8">
      <c r="A703" s="108"/>
      <c r="B703" s="109"/>
      <c r="C703" s="109"/>
      <c r="D703" s="109" t="s">
        <v>19</v>
      </c>
      <c r="E703" s="109"/>
      <c r="F703" s="109"/>
      <c r="G703" s="109"/>
      <c r="H703" s="111"/>
    </row>
    <row r="704" spans="1:8">
      <c r="A704" s="108"/>
      <c r="B704" s="109"/>
      <c r="C704" s="109"/>
      <c r="D704" s="109" t="s">
        <v>20</v>
      </c>
      <c r="E704" s="109"/>
      <c r="F704" s="109"/>
      <c r="G704" s="110"/>
      <c r="H704" s="101"/>
    </row>
    <row r="705" spans="1:8">
      <c r="A705" s="7"/>
      <c r="B705" s="7"/>
      <c r="C705" s="7"/>
      <c r="D705" s="7" t="s">
        <v>21</v>
      </c>
      <c r="E705" s="7"/>
      <c r="F705" s="7"/>
      <c r="G705" s="7"/>
      <c r="H705" s="57"/>
    </row>
    <row r="706" spans="1:8">
      <c r="A706" s="7"/>
      <c r="B706" s="7"/>
      <c r="C706" s="7"/>
      <c r="D706" s="7" t="s">
        <v>676</v>
      </c>
      <c r="E706" s="7"/>
      <c r="F706" s="7"/>
      <c r="G706" s="7"/>
      <c r="H706" s="7"/>
    </row>
    <row r="709" spans="1:8">
      <c r="H709" s="64"/>
    </row>
    <row r="710" spans="1:8">
      <c r="E710" s="290" t="s">
        <v>29</v>
      </c>
      <c r="F710" s="290"/>
      <c r="G710" s="290"/>
      <c r="H710" s="142"/>
    </row>
    <row r="711" spans="1:8">
      <c r="E711" s="270" t="s">
        <v>30</v>
      </c>
      <c r="F711" s="270"/>
      <c r="G711" s="270"/>
      <c r="H711" s="141"/>
    </row>
    <row r="712" spans="1:8">
      <c r="E712" s="271" t="s">
        <v>1067</v>
      </c>
      <c r="F712" s="271"/>
      <c r="G712" s="271"/>
      <c r="H712" s="141"/>
    </row>
  </sheetData>
  <mergeCells count="10">
    <mergeCell ref="E711:G711"/>
    <mergeCell ref="E712:G712"/>
    <mergeCell ref="A1:H7"/>
    <mergeCell ref="A10:H10"/>
    <mergeCell ref="A8:H8"/>
    <mergeCell ref="E14:H14"/>
    <mergeCell ref="B11:H11"/>
    <mergeCell ref="B12:H12"/>
    <mergeCell ref="B13:H13"/>
    <mergeCell ref="E710:G710"/>
  </mergeCells>
  <pageMargins left="0.51181102362204722" right="0.51181102362204722" top="0.78740157480314965" bottom="0.78740157480314965" header="0.31496062992125984" footer="0.31496062992125984"/>
  <pageSetup paperSize="9" scale="76" fitToHeight="0" orientation="landscape" horizontalDpi="0" verticalDpi="0" r:id="rId1"/>
  <headerFooter>
    <oddFooter xml:space="preserve">&amp;C&amp;"Arial,Normal"&amp;8Prefeitura Municipal da Estância Turística de Paraguaçu Paulista - Rua Polidoro Simões, 533 (sede provisória) CEP 19.700-000Fone: (18)3361-9100 - Fax: (18)3361-1331 – Estância Turística de Paraguaçu Paulista - SP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56"/>
  <sheetViews>
    <sheetView tabSelected="1" topLeftCell="A4" zoomScale="80" zoomScaleNormal="80" workbookViewId="0">
      <selection activeCell="B272" sqref="B272"/>
    </sheetView>
  </sheetViews>
  <sheetFormatPr defaultRowHeight="15"/>
  <cols>
    <col min="1" max="1" width="9.28515625" customWidth="1"/>
    <col min="2" max="3" width="13.28515625" customWidth="1"/>
    <col min="4" max="4" width="84.42578125" customWidth="1"/>
    <col min="5" max="5" width="10.5703125" customWidth="1"/>
    <col min="6" max="6" width="10.85546875" customWidth="1"/>
    <col min="7" max="7" width="74.42578125" customWidth="1"/>
    <col min="8" max="8" width="15" bestFit="1" customWidth="1"/>
  </cols>
  <sheetData>
    <row r="1" spans="1:9" ht="15" customHeight="1">
      <c r="A1" s="291" t="s">
        <v>38</v>
      </c>
      <c r="B1" s="291"/>
      <c r="C1" s="291"/>
      <c r="D1" s="291"/>
      <c r="E1" s="291"/>
      <c r="F1" s="291"/>
      <c r="G1" s="291"/>
    </row>
    <row r="2" spans="1:9" ht="15" customHeight="1">
      <c r="A2" s="291"/>
      <c r="B2" s="291"/>
      <c r="C2" s="291"/>
      <c r="D2" s="291"/>
      <c r="E2" s="291"/>
      <c r="F2" s="291"/>
      <c r="G2" s="291"/>
    </row>
    <row r="3" spans="1:9" ht="15" customHeight="1">
      <c r="A3" s="291"/>
      <c r="B3" s="291"/>
      <c r="C3" s="291"/>
      <c r="D3" s="291"/>
      <c r="E3" s="291"/>
      <c r="F3" s="291"/>
      <c r="G3" s="291"/>
    </row>
    <row r="4" spans="1:9" ht="15" customHeight="1">
      <c r="A4" s="291"/>
      <c r="B4" s="291"/>
      <c r="C4" s="291"/>
      <c r="D4" s="291"/>
      <c r="E4" s="291"/>
      <c r="F4" s="291"/>
      <c r="G4" s="291"/>
    </row>
    <row r="5" spans="1:9" ht="15" customHeight="1">
      <c r="A5" s="291"/>
      <c r="B5" s="291"/>
      <c r="C5" s="291"/>
      <c r="D5" s="291"/>
      <c r="E5" s="291"/>
      <c r="F5" s="291"/>
      <c r="G5" s="291"/>
    </row>
    <row r="6" spans="1:9" ht="15" customHeight="1">
      <c r="A6" s="291"/>
      <c r="B6" s="291"/>
      <c r="C6" s="291"/>
      <c r="D6" s="291"/>
      <c r="E6" s="291"/>
      <c r="F6" s="291"/>
      <c r="G6" s="291"/>
    </row>
    <row r="7" spans="1:9" ht="15" customHeight="1">
      <c r="A7" s="292"/>
      <c r="B7" s="292"/>
      <c r="C7" s="292"/>
      <c r="D7" s="292"/>
      <c r="E7" s="292"/>
      <c r="F7" s="292"/>
      <c r="G7" s="292"/>
    </row>
    <row r="8" spans="1:9" ht="15" customHeight="1">
      <c r="A8" s="293" t="s">
        <v>37</v>
      </c>
      <c r="B8" s="294"/>
      <c r="C8" s="294"/>
      <c r="D8" s="294"/>
      <c r="E8" s="294"/>
      <c r="F8" s="294"/>
      <c r="G8" s="295"/>
    </row>
    <row r="9" spans="1:9" ht="15" customHeight="1">
      <c r="A9" s="69"/>
      <c r="B9" s="68"/>
      <c r="C9" s="68"/>
      <c r="D9" s="68"/>
      <c r="E9" s="68"/>
      <c r="F9" s="68"/>
      <c r="G9" s="67"/>
    </row>
    <row r="10" spans="1:9" ht="15" customHeight="1">
      <c r="A10" s="278" t="s">
        <v>99</v>
      </c>
      <c r="B10" s="279"/>
      <c r="C10" s="279"/>
      <c r="D10" s="279"/>
      <c r="E10" s="279"/>
      <c r="F10" s="279"/>
      <c r="G10" s="280"/>
    </row>
    <row r="11" spans="1:9" ht="15" customHeight="1">
      <c r="A11" s="3"/>
      <c r="B11" s="287"/>
      <c r="C11" s="297"/>
      <c r="D11" s="297"/>
      <c r="E11" s="297"/>
      <c r="F11" s="297"/>
      <c r="G11" s="297"/>
      <c r="H11" s="152"/>
    </row>
    <row r="12" spans="1:9" ht="15" customHeight="1">
      <c r="A12" s="3"/>
      <c r="B12" s="65" t="s">
        <v>1060</v>
      </c>
      <c r="C12" s="65"/>
      <c r="D12" s="65"/>
      <c r="E12" s="65"/>
      <c r="F12" s="65"/>
      <c r="G12" s="66"/>
      <c r="H12" s="3"/>
      <c r="I12" s="64"/>
    </row>
    <row r="13" spans="1:9" ht="15" customHeight="1">
      <c r="A13" s="3"/>
      <c r="B13" s="65" t="s">
        <v>97</v>
      </c>
      <c r="C13" s="65"/>
      <c r="D13" s="65"/>
      <c r="E13" s="65"/>
      <c r="F13" s="65"/>
      <c r="G13" s="66"/>
      <c r="H13" s="65"/>
      <c r="I13" s="64"/>
    </row>
    <row r="14" spans="1:9" ht="15" customHeight="1">
      <c r="A14" s="4"/>
      <c r="B14" s="63" t="s">
        <v>85</v>
      </c>
      <c r="C14" s="4"/>
      <c r="D14" s="5"/>
      <c r="E14" s="285" t="s">
        <v>702</v>
      </c>
      <c r="F14" s="296"/>
      <c r="G14" s="296"/>
    </row>
    <row r="15" spans="1:9" ht="30">
      <c r="A15" s="62" t="s">
        <v>0</v>
      </c>
      <c r="B15" s="61" t="s">
        <v>1</v>
      </c>
      <c r="C15" s="61" t="s">
        <v>2</v>
      </c>
      <c r="D15" s="62" t="s">
        <v>3</v>
      </c>
      <c r="E15" s="62" t="s">
        <v>4</v>
      </c>
      <c r="F15" s="62" t="s">
        <v>5</v>
      </c>
      <c r="G15" s="61" t="s">
        <v>98</v>
      </c>
    </row>
    <row r="16" spans="1:9" ht="9" customHeight="1">
      <c r="A16" s="59"/>
      <c r="B16" s="59"/>
      <c r="C16" s="59"/>
      <c r="D16" s="59"/>
      <c r="E16" s="59"/>
      <c r="F16" s="59"/>
      <c r="G16" s="58"/>
    </row>
    <row r="17" spans="1:7" ht="15.75">
      <c r="A17" s="106" t="s">
        <v>129</v>
      </c>
      <c r="B17" s="107"/>
      <c r="C17" s="107"/>
      <c r="D17" s="97" t="s">
        <v>673</v>
      </c>
      <c r="E17" s="2"/>
      <c r="F17" s="2"/>
      <c r="G17" s="60"/>
    </row>
    <row r="18" spans="1:7" ht="9" customHeight="1">
      <c r="A18" s="1"/>
      <c r="B18" s="1"/>
      <c r="C18" s="1"/>
      <c r="D18" s="1"/>
      <c r="E18" s="1"/>
      <c r="F18" s="1"/>
      <c r="G18" s="76"/>
    </row>
    <row r="19" spans="1:7">
      <c r="A19" s="10">
        <v>1</v>
      </c>
      <c r="B19" s="79"/>
      <c r="C19" s="79"/>
      <c r="D19" s="10" t="s">
        <v>13</v>
      </c>
      <c r="E19" s="79"/>
      <c r="F19" s="79"/>
      <c r="G19" s="79"/>
    </row>
    <row r="20" spans="1:7">
      <c r="A20" s="81" t="s">
        <v>9</v>
      </c>
      <c r="B20" s="82" t="s">
        <v>86</v>
      </c>
      <c r="C20" s="82" t="s">
        <v>653</v>
      </c>
      <c r="D20" s="208" t="s">
        <v>1117</v>
      </c>
      <c r="E20" s="82" t="s">
        <v>27</v>
      </c>
      <c r="F20" s="51">
        <f>196.3+335.2+265.5+156.4+215.4+20.2+57.4+50.5</f>
        <v>1296.9000000000001</v>
      </c>
      <c r="G20" s="143" t="s">
        <v>704</v>
      </c>
    </row>
    <row r="21" spans="1:7">
      <c r="A21" s="81" t="s">
        <v>10</v>
      </c>
      <c r="B21" s="82" t="s">
        <v>86</v>
      </c>
      <c r="C21" s="82" t="s">
        <v>90</v>
      </c>
      <c r="D21" s="83" t="s">
        <v>91</v>
      </c>
      <c r="E21" s="82" t="s">
        <v>92</v>
      </c>
      <c r="F21" s="51">
        <v>5</v>
      </c>
      <c r="G21" s="178" t="s">
        <v>1062</v>
      </c>
    </row>
    <row r="22" spans="1:7">
      <c r="A22" s="10">
        <v>2</v>
      </c>
      <c r="B22" s="7"/>
      <c r="C22" s="7"/>
      <c r="D22" s="10" t="s">
        <v>135</v>
      </c>
      <c r="E22" s="13"/>
      <c r="F22" s="20"/>
      <c r="G22" s="60"/>
    </row>
    <row r="23" spans="1:7" ht="29.25">
      <c r="A23" s="86" t="s">
        <v>14</v>
      </c>
      <c r="B23" s="82" t="s">
        <v>86</v>
      </c>
      <c r="C23" s="82" t="s">
        <v>655</v>
      </c>
      <c r="D23" s="208" t="s">
        <v>1118</v>
      </c>
      <c r="E23" s="82" t="s">
        <v>25</v>
      </c>
      <c r="F23" s="51">
        <f>(F20*0.15*0.1)+F29</f>
        <v>54.037500000000023</v>
      </c>
      <c r="G23" s="143" t="s">
        <v>705</v>
      </c>
    </row>
    <row r="24" spans="1:7" ht="15" customHeight="1">
      <c r="A24" s="86" t="s">
        <v>41</v>
      </c>
      <c r="B24" s="82" t="s">
        <v>86</v>
      </c>
      <c r="C24" s="82" t="s">
        <v>657</v>
      </c>
      <c r="D24" s="83" t="s">
        <v>658</v>
      </c>
      <c r="E24" s="82" t="s">
        <v>25</v>
      </c>
      <c r="F24" s="51">
        <f>0.15*0.3*1296.9</f>
        <v>58.360500000000002</v>
      </c>
      <c r="G24" s="143" t="s">
        <v>706</v>
      </c>
    </row>
    <row r="25" spans="1:7">
      <c r="A25" s="86" t="s">
        <v>44</v>
      </c>
      <c r="B25" s="82" t="s">
        <v>86</v>
      </c>
      <c r="C25" s="82" t="s">
        <v>146</v>
      </c>
      <c r="D25" s="83" t="s">
        <v>659</v>
      </c>
      <c r="E25" s="82" t="s">
        <v>148</v>
      </c>
      <c r="F25" s="51">
        <f>F24*70</f>
        <v>4085.2350000000001</v>
      </c>
      <c r="G25" s="143" t="s">
        <v>707</v>
      </c>
    </row>
    <row r="26" spans="1:7">
      <c r="A26" s="86" t="s">
        <v>49</v>
      </c>
      <c r="B26" s="82" t="s">
        <v>86</v>
      </c>
      <c r="C26" s="82" t="s">
        <v>150</v>
      </c>
      <c r="D26" s="83" t="s">
        <v>660</v>
      </c>
      <c r="E26" s="82" t="s">
        <v>148</v>
      </c>
      <c r="F26" s="51">
        <f>F24*10</f>
        <v>583.60500000000002</v>
      </c>
      <c r="G26" s="143" t="s">
        <v>708</v>
      </c>
    </row>
    <row r="27" spans="1:7" ht="29.25">
      <c r="A27" s="86" t="s">
        <v>145</v>
      </c>
      <c r="B27" s="82" t="s">
        <v>86</v>
      </c>
      <c r="C27" s="82" t="s">
        <v>661</v>
      </c>
      <c r="D27" s="83" t="s">
        <v>662</v>
      </c>
      <c r="E27" s="82" t="s">
        <v>25</v>
      </c>
      <c r="F27" s="51">
        <f>F24+F29</f>
        <v>92.944500000000019</v>
      </c>
      <c r="G27" s="143" t="s">
        <v>709</v>
      </c>
    </row>
    <row r="28" spans="1:7">
      <c r="A28" s="86" t="s">
        <v>149</v>
      </c>
      <c r="B28" s="82" t="s">
        <v>86</v>
      </c>
      <c r="C28" s="82" t="s">
        <v>663</v>
      </c>
      <c r="D28" s="208" t="s">
        <v>1102</v>
      </c>
      <c r="E28" s="82" t="s">
        <v>23</v>
      </c>
      <c r="F28" s="51">
        <f>100*0.3*2</f>
        <v>60</v>
      </c>
      <c r="G28" s="143" t="s">
        <v>710</v>
      </c>
    </row>
    <row r="29" spans="1:7">
      <c r="A29" s="86" t="s">
        <v>152</v>
      </c>
      <c r="B29" s="82" t="s">
        <v>86</v>
      </c>
      <c r="C29" s="82" t="s">
        <v>657</v>
      </c>
      <c r="D29" s="83" t="s">
        <v>665</v>
      </c>
      <c r="E29" s="82" t="s">
        <v>25</v>
      </c>
      <c r="F29" s="51">
        <f>(1296.9/2.4)*0.4*0.4*0.4</f>
        <v>34.584000000000017</v>
      </c>
      <c r="G29" s="143" t="s">
        <v>711</v>
      </c>
    </row>
    <row r="30" spans="1:7">
      <c r="A30" s="86" t="s">
        <v>154</v>
      </c>
      <c r="B30" s="82" t="s">
        <v>86</v>
      </c>
      <c r="C30" s="82" t="s">
        <v>146</v>
      </c>
      <c r="D30" s="83" t="s">
        <v>666</v>
      </c>
      <c r="E30" s="82" t="s">
        <v>148</v>
      </c>
      <c r="F30" s="51">
        <f>F29*60</f>
        <v>2075.0400000000009</v>
      </c>
      <c r="G30" s="143" t="s">
        <v>712</v>
      </c>
    </row>
    <row r="31" spans="1:7">
      <c r="A31" s="86" t="s">
        <v>156</v>
      </c>
      <c r="B31" s="82" t="s">
        <v>86</v>
      </c>
      <c r="C31" s="82" t="s">
        <v>150</v>
      </c>
      <c r="D31" s="83" t="s">
        <v>667</v>
      </c>
      <c r="E31" s="82" t="s">
        <v>148</v>
      </c>
      <c r="F31" s="51">
        <f>F29*12</f>
        <v>415.00800000000021</v>
      </c>
      <c r="G31" s="143" t="s">
        <v>713</v>
      </c>
    </row>
    <row r="32" spans="1:7" ht="15" customHeight="1">
      <c r="A32" s="10">
        <v>3</v>
      </c>
      <c r="B32" s="7"/>
      <c r="C32" s="7"/>
      <c r="D32" s="10" t="s">
        <v>668</v>
      </c>
      <c r="E32" s="13"/>
      <c r="F32" s="20"/>
      <c r="G32" s="20"/>
    </row>
    <row r="33" spans="1:7" ht="30" customHeight="1">
      <c r="A33" s="86" t="s">
        <v>15</v>
      </c>
      <c r="B33" s="82" t="s">
        <v>86</v>
      </c>
      <c r="C33" s="82" t="s">
        <v>669</v>
      </c>
      <c r="D33" s="208" t="s">
        <v>1119</v>
      </c>
      <c r="E33" s="82" t="s">
        <v>27</v>
      </c>
      <c r="F33" s="84">
        <f>F20</f>
        <v>1296.9000000000001</v>
      </c>
      <c r="G33" s="143" t="s">
        <v>704</v>
      </c>
    </row>
    <row r="34" spans="1:7">
      <c r="A34" s="86" t="s">
        <v>47</v>
      </c>
      <c r="B34" s="82" t="s">
        <v>86</v>
      </c>
      <c r="C34" s="82" t="s">
        <v>671</v>
      </c>
      <c r="D34" s="208" t="s">
        <v>1120</v>
      </c>
      <c r="E34" s="82" t="s">
        <v>23</v>
      </c>
      <c r="F34" s="84">
        <f>6*2.9</f>
        <v>17.399999999999999</v>
      </c>
      <c r="G34" s="143" t="s">
        <v>714</v>
      </c>
    </row>
    <row r="35" spans="1:7" ht="9" customHeight="1">
      <c r="A35" s="55"/>
      <c r="B35" s="44"/>
      <c r="C35" s="43"/>
      <c r="D35" s="42"/>
      <c r="E35" s="43"/>
      <c r="F35" s="19"/>
      <c r="G35" s="75"/>
    </row>
    <row r="36" spans="1:7" ht="15.75">
      <c r="A36" s="106" t="s">
        <v>131</v>
      </c>
      <c r="B36" s="106"/>
      <c r="C36" s="106"/>
      <c r="D36" s="131" t="s">
        <v>1007</v>
      </c>
      <c r="E36" s="106"/>
      <c r="F36" s="132"/>
      <c r="G36" s="133"/>
    </row>
    <row r="37" spans="1:7" ht="9" customHeight="1">
      <c r="A37" s="55"/>
      <c r="B37" s="44"/>
      <c r="C37" s="52"/>
      <c r="D37" s="53"/>
      <c r="E37" s="43"/>
      <c r="F37" s="51"/>
      <c r="G37" s="74"/>
    </row>
    <row r="38" spans="1:7">
      <c r="A38" s="10">
        <v>1</v>
      </c>
      <c r="B38" s="2"/>
      <c r="C38" s="2"/>
      <c r="D38" s="10" t="s">
        <v>13</v>
      </c>
      <c r="E38" s="2"/>
      <c r="F38" s="2"/>
      <c r="G38" s="2"/>
    </row>
    <row r="39" spans="1:7" ht="29.25">
      <c r="A39" s="36" t="s">
        <v>9</v>
      </c>
      <c r="B39" s="44" t="s">
        <v>86</v>
      </c>
      <c r="C39" s="44" t="s">
        <v>24</v>
      </c>
      <c r="D39" s="210" t="s">
        <v>31</v>
      </c>
      <c r="E39" s="37" t="s">
        <v>23</v>
      </c>
      <c r="F39" s="39">
        <f>(6*3)+(3*2)</f>
        <v>24</v>
      </c>
      <c r="G39" s="143" t="s">
        <v>100</v>
      </c>
    </row>
    <row r="40" spans="1:7" ht="29.25">
      <c r="A40" s="36" t="s">
        <v>10</v>
      </c>
      <c r="B40" s="44" t="s">
        <v>86</v>
      </c>
      <c r="C40" s="44" t="s">
        <v>39</v>
      </c>
      <c r="D40" s="208" t="s">
        <v>1121</v>
      </c>
      <c r="E40" s="37" t="s">
        <v>23</v>
      </c>
      <c r="F40" s="154">
        <f>F72+F75+F79</f>
        <v>8481.44</v>
      </c>
      <c r="G40" s="229" t="s">
        <v>1210</v>
      </c>
    </row>
    <row r="41" spans="1:7" ht="29.25">
      <c r="A41" s="36" t="s">
        <v>11</v>
      </c>
      <c r="B41" s="44" t="s">
        <v>86</v>
      </c>
      <c r="C41" s="37" t="s">
        <v>40</v>
      </c>
      <c r="D41" s="208" t="s">
        <v>1122</v>
      </c>
      <c r="E41" s="37" t="s">
        <v>27</v>
      </c>
      <c r="F41" s="51">
        <f>248.8+54.53+46</f>
        <v>349.33000000000004</v>
      </c>
      <c r="G41" s="230" t="s">
        <v>1208</v>
      </c>
    </row>
    <row r="42" spans="1:7">
      <c r="A42" s="36" t="s">
        <v>12</v>
      </c>
      <c r="B42" s="52" t="s">
        <v>86</v>
      </c>
      <c r="C42" s="37" t="s">
        <v>90</v>
      </c>
      <c r="D42" s="38" t="s">
        <v>91</v>
      </c>
      <c r="E42" s="52" t="s">
        <v>92</v>
      </c>
      <c r="F42" s="51">
        <v>8</v>
      </c>
      <c r="G42" s="179" t="s">
        <v>1063</v>
      </c>
    </row>
    <row r="43" spans="1:7" ht="43.5">
      <c r="A43" s="36" t="s">
        <v>1008</v>
      </c>
      <c r="B43" s="155" t="s">
        <v>86</v>
      </c>
      <c r="C43" s="155" t="s">
        <v>695</v>
      </c>
      <c r="D43" s="28" t="s">
        <v>1123</v>
      </c>
      <c r="E43" s="127" t="s">
        <v>23</v>
      </c>
      <c r="F43" s="116">
        <f>1966.3+21.84-88.8</f>
        <v>1899.34</v>
      </c>
      <c r="G43" s="205" t="s">
        <v>1099</v>
      </c>
    </row>
    <row r="44" spans="1:7" ht="29.25">
      <c r="A44" s="36" t="s">
        <v>1009</v>
      </c>
      <c r="B44" s="155" t="s">
        <v>86</v>
      </c>
      <c r="C44" s="155" t="s">
        <v>46</v>
      </c>
      <c r="D44" s="208" t="s">
        <v>1124</v>
      </c>
      <c r="E44" s="127" t="s">
        <v>23</v>
      </c>
      <c r="F44" s="116">
        <f>1966.3+21.84-88.8</f>
        <v>1899.34</v>
      </c>
      <c r="G44" s="205" t="s">
        <v>1099</v>
      </c>
    </row>
    <row r="45" spans="1:7" ht="29.25">
      <c r="A45" s="36" t="s">
        <v>1078</v>
      </c>
      <c r="B45" s="155" t="s">
        <v>86</v>
      </c>
      <c r="C45" s="155" t="s">
        <v>513</v>
      </c>
      <c r="D45" s="208" t="s">
        <v>1125</v>
      </c>
      <c r="E45" s="189" t="s">
        <v>25</v>
      </c>
      <c r="F45" s="116">
        <f>(250*0.4)+(120*0.4)</f>
        <v>148</v>
      </c>
      <c r="G45" s="205" t="s">
        <v>1113</v>
      </c>
    </row>
    <row r="46" spans="1:7" ht="29.25">
      <c r="A46" s="36" t="s">
        <v>1081</v>
      </c>
      <c r="B46" s="155" t="s">
        <v>86</v>
      </c>
      <c r="C46" s="155" t="s">
        <v>1098</v>
      </c>
      <c r="D46" s="228" t="s">
        <v>1201</v>
      </c>
      <c r="E46" s="206" t="s">
        <v>416</v>
      </c>
      <c r="F46" s="116">
        <v>1</v>
      </c>
      <c r="G46" s="205" t="s">
        <v>1108</v>
      </c>
    </row>
    <row r="47" spans="1:7">
      <c r="A47" s="36" t="s">
        <v>1091</v>
      </c>
      <c r="B47" s="265" t="s">
        <v>86</v>
      </c>
      <c r="C47" s="155" t="s">
        <v>1252</v>
      </c>
      <c r="D47" s="228" t="s">
        <v>1253</v>
      </c>
      <c r="E47" s="265" t="s">
        <v>27</v>
      </c>
      <c r="F47" s="116">
        <f>4*6</f>
        <v>24</v>
      </c>
      <c r="G47" s="266" t="s">
        <v>1254</v>
      </c>
    </row>
    <row r="48" spans="1:7">
      <c r="A48" s="36" t="s">
        <v>1094</v>
      </c>
      <c r="B48" s="155" t="s">
        <v>86</v>
      </c>
      <c r="C48" s="155" t="s">
        <v>663</v>
      </c>
      <c r="D48" s="228" t="s">
        <v>1202</v>
      </c>
      <c r="E48" s="206" t="s">
        <v>23</v>
      </c>
      <c r="F48" s="116">
        <f>((3.6+3.6+1.8+1.8)*0.3)</f>
        <v>3.24</v>
      </c>
      <c r="G48" s="266" t="s">
        <v>1255</v>
      </c>
    </row>
    <row r="49" spans="1:7">
      <c r="A49" s="36" t="s">
        <v>1100</v>
      </c>
      <c r="B49" s="155" t="s">
        <v>86</v>
      </c>
      <c r="C49" s="155" t="s">
        <v>141</v>
      </c>
      <c r="D49" s="228" t="s">
        <v>1203</v>
      </c>
      <c r="E49" s="206" t="s">
        <v>25</v>
      </c>
      <c r="F49" s="116">
        <f>ROUND((3.6*1.8*0.2),2)</f>
        <v>1.3</v>
      </c>
      <c r="G49" s="266" t="s">
        <v>1256</v>
      </c>
    </row>
    <row r="50" spans="1:7">
      <c r="A50" s="36" t="s">
        <v>1101</v>
      </c>
      <c r="B50" s="155" t="s">
        <v>86</v>
      </c>
      <c r="C50" s="155" t="s">
        <v>146</v>
      </c>
      <c r="D50" s="228" t="s">
        <v>1204</v>
      </c>
      <c r="E50" s="206" t="s">
        <v>148</v>
      </c>
      <c r="F50" s="116">
        <f>(F49*90)</f>
        <v>117</v>
      </c>
      <c r="G50" s="269" t="s">
        <v>1261</v>
      </c>
    </row>
    <row r="51" spans="1:7">
      <c r="A51" s="36" t="s">
        <v>1106</v>
      </c>
      <c r="B51" s="155" t="s">
        <v>86</v>
      </c>
      <c r="C51" s="155" t="s">
        <v>150</v>
      </c>
      <c r="D51" s="228" t="s">
        <v>1205</v>
      </c>
      <c r="E51" s="206" t="s">
        <v>148</v>
      </c>
      <c r="F51" s="116">
        <f>(F49*16)</f>
        <v>20.8</v>
      </c>
      <c r="G51" s="269" t="s">
        <v>1262</v>
      </c>
    </row>
    <row r="52" spans="1:7" ht="29.25">
      <c r="A52" s="36" t="s">
        <v>1114</v>
      </c>
      <c r="B52" s="155" t="s">
        <v>86</v>
      </c>
      <c r="C52" s="155" t="s">
        <v>661</v>
      </c>
      <c r="D52" s="228" t="s">
        <v>1206</v>
      </c>
      <c r="E52" s="206" t="s">
        <v>25</v>
      </c>
      <c r="F52" s="116">
        <f>F49</f>
        <v>1.3</v>
      </c>
      <c r="G52" s="266" t="s">
        <v>1256</v>
      </c>
    </row>
    <row r="53" spans="1:7" ht="29.25">
      <c r="A53" s="36" t="s">
        <v>1251</v>
      </c>
      <c r="B53" s="155" t="s">
        <v>86</v>
      </c>
      <c r="C53" s="155" t="s">
        <v>1115</v>
      </c>
      <c r="D53" s="228" t="s">
        <v>1126</v>
      </c>
      <c r="E53" s="206" t="s">
        <v>27</v>
      </c>
      <c r="F53" s="116">
        <f>(15+29.5+42+12.5+21)</f>
        <v>120</v>
      </c>
      <c r="G53" s="205" t="s">
        <v>1116</v>
      </c>
    </row>
    <row r="54" spans="1:7">
      <c r="A54" s="10">
        <v>2</v>
      </c>
      <c r="B54" s="7"/>
      <c r="C54" s="7"/>
      <c r="D54" s="10" t="s">
        <v>45</v>
      </c>
      <c r="E54" s="13"/>
      <c r="F54" s="20"/>
      <c r="G54" s="20"/>
    </row>
    <row r="55" spans="1:7" ht="29.25">
      <c r="A55" s="41" t="s">
        <v>14</v>
      </c>
      <c r="B55" s="44" t="s">
        <v>86</v>
      </c>
      <c r="C55" s="56" t="s">
        <v>95</v>
      </c>
      <c r="D55" s="214" t="s">
        <v>1156</v>
      </c>
      <c r="E55" s="37" t="s">
        <v>25</v>
      </c>
      <c r="F55" s="51">
        <f>(2*1*248.8)</f>
        <v>497.6</v>
      </c>
      <c r="G55" s="223" t="s">
        <v>1175</v>
      </c>
    </row>
    <row r="56" spans="1:7">
      <c r="A56" s="41" t="s">
        <v>41</v>
      </c>
      <c r="B56" s="44" t="s">
        <v>86</v>
      </c>
      <c r="C56" s="52" t="s">
        <v>42</v>
      </c>
      <c r="D56" s="224" t="s">
        <v>1176</v>
      </c>
      <c r="E56" s="37" t="s">
        <v>27</v>
      </c>
      <c r="F56" s="51">
        <v>153.80000000000001</v>
      </c>
      <c r="G56" s="223" t="s">
        <v>1178</v>
      </c>
    </row>
    <row r="57" spans="1:7" ht="15" customHeight="1">
      <c r="A57" s="41" t="s">
        <v>44</v>
      </c>
      <c r="B57" s="213" t="s">
        <v>86</v>
      </c>
      <c r="C57" s="52" t="s">
        <v>1157</v>
      </c>
      <c r="D57" s="224" t="s">
        <v>1177</v>
      </c>
      <c r="E57" s="213" t="s">
        <v>27</v>
      </c>
      <c r="F57" s="51">
        <v>95</v>
      </c>
      <c r="G57" s="223" t="s">
        <v>1179</v>
      </c>
    </row>
    <row r="58" spans="1:7" ht="29.25">
      <c r="A58" s="41" t="s">
        <v>49</v>
      </c>
      <c r="B58" s="44" t="s">
        <v>86</v>
      </c>
      <c r="C58" s="52" t="s">
        <v>87</v>
      </c>
      <c r="D58" s="208" t="s">
        <v>1128</v>
      </c>
      <c r="E58" s="37" t="s">
        <v>25</v>
      </c>
      <c r="F58" s="51">
        <f>F55*0.8</f>
        <v>398.08000000000004</v>
      </c>
      <c r="G58" s="223" t="s">
        <v>1196</v>
      </c>
    </row>
    <row r="59" spans="1:7">
      <c r="A59" s="41" t="s">
        <v>145</v>
      </c>
      <c r="B59" s="44" t="s">
        <v>86</v>
      </c>
      <c r="C59" s="73" t="s">
        <v>125</v>
      </c>
      <c r="D59" s="210" t="s">
        <v>1155</v>
      </c>
      <c r="E59" s="37" t="s">
        <v>26</v>
      </c>
      <c r="F59" s="51">
        <f>4+5</f>
        <v>9</v>
      </c>
      <c r="G59" s="223" t="s">
        <v>1180</v>
      </c>
    </row>
    <row r="60" spans="1:7">
      <c r="A60" s="41" t="s">
        <v>149</v>
      </c>
      <c r="B60" s="213" t="s">
        <v>86</v>
      </c>
      <c r="C60" s="73" t="s">
        <v>1159</v>
      </c>
      <c r="D60" s="214" t="s">
        <v>1160</v>
      </c>
      <c r="E60" s="213" t="s">
        <v>26</v>
      </c>
      <c r="F60" s="51">
        <v>1</v>
      </c>
      <c r="G60" s="223" t="s">
        <v>1181</v>
      </c>
    </row>
    <row r="61" spans="1:7">
      <c r="A61" s="41" t="s">
        <v>152</v>
      </c>
      <c r="B61" s="213" t="s">
        <v>86</v>
      </c>
      <c r="C61" s="213" t="s">
        <v>141</v>
      </c>
      <c r="D61" s="214" t="s">
        <v>1107</v>
      </c>
      <c r="E61" s="213" t="s">
        <v>25</v>
      </c>
      <c r="F61" s="51">
        <f>ROUND((1.8*0.1*3)+(3*2.1*0.1)+(0.7*0.1*3)+(3*1.4*0.1)+(1.71*0.1),2)</f>
        <v>1.97</v>
      </c>
      <c r="G61" s="223" t="s">
        <v>1182</v>
      </c>
    </row>
    <row r="62" spans="1:7">
      <c r="A62" s="41" t="s">
        <v>154</v>
      </c>
      <c r="B62" s="213" t="s">
        <v>86</v>
      </c>
      <c r="C62" s="73" t="s">
        <v>146</v>
      </c>
      <c r="D62" s="214" t="s">
        <v>1103</v>
      </c>
      <c r="E62" s="213" t="s">
        <v>148</v>
      </c>
      <c r="F62" s="51">
        <f>F61*80</f>
        <v>157.6</v>
      </c>
      <c r="G62" s="223" t="s">
        <v>1183</v>
      </c>
    </row>
    <row r="63" spans="1:7">
      <c r="A63" s="41" t="s">
        <v>156</v>
      </c>
      <c r="B63" s="213" t="s">
        <v>86</v>
      </c>
      <c r="C63" s="73" t="s">
        <v>150</v>
      </c>
      <c r="D63" s="214" t="s">
        <v>1104</v>
      </c>
      <c r="E63" s="213" t="s">
        <v>148</v>
      </c>
      <c r="F63" s="51">
        <f>F61*14</f>
        <v>27.58</v>
      </c>
      <c r="G63" s="223" t="s">
        <v>1184</v>
      </c>
    </row>
    <row r="64" spans="1:7" ht="29.25">
      <c r="A64" s="41" t="s">
        <v>158</v>
      </c>
      <c r="B64" s="213" t="s">
        <v>86</v>
      </c>
      <c r="C64" s="73" t="s">
        <v>661</v>
      </c>
      <c r="D64" s="214" t="s">
        <v>1105</v>
      </c>
      <c r="E64" s="213" t="s">
        <v>25</v>
      </c>
      <c r="F64" s="51">
        <f>F61</f>
        <v>1.97</v>
      </c>
      <c r="G64" s="223" t="s">
        <v>1182</v>
      </c>
    </row>
    <row r="65" spans="1:7">
      <c r="A65" s="41" t="s">
        <v>160</v>
      </c>
      <c r="B65" s="216" t="s">
        <v>86</v>
      </c>
      <c r="C65" s="217" t="s">
        <v>1161</v>
      </c>
      <c r="D65" s="218" t="s">
        <v>1162</v>
      </c>
      <c r="E65" s="216" t="s">
        <v>23</v>
      </c>
      <c r="F65" s="219">
        <f>(5.5*2)+2.25</f>
        <v>13.25</v>
      </c>
      <c r="G65" s="223" t="s">
        <v>1185</v>
      </c>
    </row>
    <row r="66" spans="1:7">
      <c r="A66" s="41" t="s">
        <v>1163</v>
      </c>
      <c r="B66" s="216" t="s">
        <v>86</v>
      </c>
      <c r="C66" s="217" t="s">
        <v>219</v>
      </c>
      <c r="D66" s="218" t="s">
        <v>220</v>
      </c>
      <c r="E66" s="216" t="s">
        <v>23</v>
      </c>
      <c r="F66" s="219">
        <f>F65*2</f>
        <v>26.5</v>
      </c>
      <c r="G66" s="223" t="s">
        <v>1186</v>
      </c>
    </row>
    <row r="67" spans="1:7">
      <c r="A67" s="41" t="s">
        <v>1164</v>
      </c>
      <c r="B67" s="216" t="s">
        <v>86</v>
      </c>
      <c r="C67" s="217" t="s">
        <v>217</v>
      </c>
      <c r="D67" s="218" t="s">
        <v>525</v>
      </c>
      <c r="E67" s="216" t="s">
        <v>23</v>
      </c>
      <c r="F67" s="219">
        <f>F66</f>
        <v>26.5</v>
      </c>
      <c r="G67" s="223" t="s">
        <v>1186</v>
      </c>
    </row>
    <row r="68" spans="1:7">
      <c r="A68" s="41" t="s">
        <v>1165</v>
      </c>
      <c r="B68" s="216" t="s">
        <v>86</v>
      </c>
      <c r="C68" s="217" t="s">
        <v>663</v>
      </c>
      <c r="D68" s="218" t="s">
        <v>1102</v>
      </c>
      <c r="E68" s="216" t="s">
        <v>23</v>
      </c>
      <c r="F68" s="219">
        <f>(1.8*3)+(0.7*3)</f>
        <v>7.5</v>
      </c>
      <c r="G68" s="223" t="s">
        <v>1187</v>
      </c>
    </row>
    <row r="69" spans="1:7" ht="43.5">
      <c r="A69" s="41" t="s">
        <v>1166</v>
      </c>
      <c r="B69" s="44" t="s">
        <v>86</v>
      </c>
      <c r="C69" s="73" t="s">
        <v>1034</v>
      </c>
      <c r="D69" s="208" t="s">
        <v>1129</v>
      </c>
      <c r="E69" s="184" t="s">
        <v>25</v>
      </c>
      <c r="F69" s="51">
        <f>(0.5*1*1.5*3)</f>
        <v>2.25</v>
      </c>
      <c r="G69" s="223" t="s">
        <v>1188</v>
      </c>
    </row>
    <row r="70" spans="1:7" ht="43.5">
      <c r="A70" s="41" t="s">
        <v>1167</v>
      </c>
      <c r="B70" s="44" t="s">
        <v>86</v>
      </c>
      <c r="C70" s="73" t="s">
        <v>1044</v>
      </c>
      <c r="D70" s="208" t="s">
        <v>1130</v>
      </c>
      <c r="E70" s="184" t="s">
        <v>25</v>
      </c>
      <c r="F70" s="51">
        <f>(1*1*1.5*6)</f>
        <v>9</v>
      </c>
      <c r="G70" s="223" t="s">
        <v>1189</v>
      </c>
    </row>
    <row r="71" spans="1:7">
      <c r="A71" s="10">
        <v>3</v>
      </c>
      <c r="B71" s="7"/>
      <c r="C71" s="7"/>
      <c r="D71" s="10" t="s">
        <v>51</v>
      </c>
      <c r="E71" s="13"/>
      <c r="F71" s="20"/>
      <c r="G71" s="20"/>
    </row>
    <row r="72" spans="1:7" ht="45" customHeight="1">
      <c r="A72" s="246" t="s">
        <v>15</v>
      </c>
      <c r="B72" s="44" t="s">
        <v>86</v>
      </c>
      <c r="C72" s="44" t="s">
        <v>63</v>
      </c>
      <c r="D72" s="28" t="s">
        <v>1140</v>
      </c>
      <c r="E72" s="37" t="s">
        <v>23</v>
      </c>
      <c r="F72" s="19">
        <f>(4681.06-1814.1)+1780.94</f>
        <v>4647.9000000000005</v>
      </c>
      <c r="G72" s="174" t="s">
        <v>1056</v>
      </c>
    </row>
    <row r="73" spans="1:7">
      <c r="A73" s="10">
        <v>4</v>
      </c>
      <c r="B73" s="7"/>
      <c r="C73" s="13"/>
      <c r="D73" s="10" t="s">
        <v>50</v>
      </c>
      <c r="E73" s="13"/>
      <c r="F73" s="13"/>
      <c r="G73" s="13"/>
    </row>
    <row r="74" spans="1:7">
      <c r="A74" s="55" t="s">
        <v>16</v>
      </c>
      <c r="B74" s="44" t="s">
        <v>86</v>
      </c>
      <c r="C74" s="37" t="s">
        <v>48</v>
      </c>
      <c r="D74" s="25" t="s">
        <v>1131</v>
      </c>
      <c r="E74" s="37" t="s">
        <v>25</v>
      </c>
      <c r="F74" s="19">
        <f>F75*0.04</f>
        <v>49.013199999999998</v>
      </c>
      <c r="G74" s="163" t="s">
        <v>1013</v>
      </c>
    </row>
    <row r="75" spans="1:7" ht="30" customHeight="1">
      <c r="A75" s="55" t="s">
        <v>17</v>
      </c>
      <c r="B75" s="44" t="s">
        <v>86</v>
      </c>
      <c r="C75" s="52" t="s">
        <v>53</v>
      </c>
      <c r="D75" s="28" t="s">
        <v>1132</v>
      </c>
      <c r="E75" s="43" t="s">
        <v>23</v>
      </c>
      <c r="F75" s="19">
        <f>179.48+281.55+764.3</f>
        <v>1225.33</v>
      </c>
      <c r="G75" s="163" t="s">
        <v>1012</v>
      </c>
    </row>
    <row r="76" spans="1:7">
      <c r="A76" s="55" t="s">
        <v>93</v>
      </c>
      <c r="B76" s="44" t="s">
        <v>86</v>
      </c>
      <c r="C76" s="44" t="s">
        <v>58</v>
      </c>
      <c r="D76" s="28" t="s">
        <v>1133</v>
      </c>
      <c r="E76" s="43" t="s">
        <v>23</v>
      </c>
      <c r="F76" s="19">
        <f>F75</f>
        <v>1225.33</v>
      </c>
      <c r="G76" s="163" t="s">
        <v>1012</v>
      </c>
    </row>
    <row r="77" spans="1:7" ht="29.25">
      <c r="A77" s="55" t="s">
        <v>94</v>
      </c>
      <c r="B77" s="44" t="s">
        <v>86</v>
      </c>
      <c r="C77" s="44" t="s">
        <v>46</v>
      </c>
      <c r="D77" s="28" t="s">
        <v>1134</v>
      </c>
      <c r="E77" s="43" t="s">
        <v>23</v>
      </c>
      <c r="F77" s="19">
        <f>F75</f>
        <v>1225.33</v>
      </c>
      <c r="G77" s="163" t="s">
        <v>1012</v>
      </c>
    </row>
    <row r="78" spans="1:7">
      <c r="A78" s="10">
        <v>5</v>
      </c>
      <c r="B78" s="7"/>
      <c r="C78" s="13"/>
      <c r="D78" s="10" t="s">
        <v>61</v>
      </c>
      <c r="E78" s="13"/>
      <c r="F78" s="13"/>
      <c r="G78" s="13"/>
    </row>
    <row r="79" spans="1:7" ht="43.5">
      <c r="A79" s="246" t="s">
        <v>18</v>
      </c>
      <c r="B79" s="44" t="s">
        <v>86</v>
      </c>
      <c r="C79" s="44" t="s">
        <v>63</v>
      </c>
      <c r="D79" s="208" t="s">
        <v>1135</v>
      </c>
      <c r="E79" s="43" t="s">
        <v>23</v>
      </c>
      <c r="F79" s="19">
        <f>190.14+32.92+1127.55+1057.6+200</f>
        <v>2608.21</v>
      </c>
      <c r="G79" s="235" t="s">
        <v>1209</v>
      </c>
    </row>
    <row r="80" spans="1:7" ht="29.25">
      <c r="A80" s="246" t="s">
        <v>52</v>
      </c>
      <c r="B80" s="44" t="s">
        <v>86</v>
      </c>
      <c r="C80" s="52" t="s">
        <v>1112</v>
      </c>
      <c r="D80" s="252" t="s">
        <v>1219</v>
      </c>
      <c r="E80" s="43" t="s">
        <v>27</v>
      </c>
      <c r="F80" s="51">
        <f>(124.8+123.2+134)</f>
        <v>382</v>
      </c>
      <c r="G80" s="258" t="s">
        <v>1237</v>
      </c>
    </row>
    <row r="81" spans="1:7" ht="29.25">
      <c r="A81" s="246" t="s">
        <v>54</v>
      </c>
      <c r="B81" s="52" t="s">
        <v>86</v>
      </c>
      <c r="C81" s="52" t="s">
        <v>89</v>
      </c>
      <c r="D81" s="208" t="s">
        <v>1136</v>
      </c>
      <c r="E81" s="52" t="s">
        <v>23</v>
      </c>
      <c r="F81" s="51">
        <f>ROUND((F80*0.16),2)</f>
        <v>61.12</v>
      </c>
      <c r="G81" s="251" t="s">
        <v>1218</v>
      </c>
    </row>
    <row r="82" spans="1:7">
      <c r="A82" s="10">
        <v>6</v>
      </c>
      <c r="B82" s="13"/>
      <c r="C82" s="13"/>
      <c r="D82" s="10" t="s">
        <v>67</v>
      </c>
      <c r="E82" s="13"/>
      <c r="F82" s="13"/>
      <c r="G82" s="13"/>
    </row>
    <row r="83" spans="1:7" ht="30" customHeight="1">
      <c r="A83" s="248" t="s">
        <v>62</v>
      </c>
      <c r="B83" s="232" t="s">
        <v>86</v>
      </c>
      <c r="C83" s="241" t="s">
        <v>1214</v>
      </c>
      <c r="D83" s="130" t="s">
        <v>1216</v>
      </c>
      <c r="E83" s="239" t="s">
        <v>25</v>
      </c>
      <c r="F83" s="219">
        <f>ROUND((2451.77/25.64),2)</f>
        <v>95.62</v>
      </c>
      <c r="G83" s="258" t="s">
        <v>1238</v>
      </c>
    </row>
    <row r="84" spans="1:7" ht="30" customHeight="1">
      <c r="A84" s="248" t="s">
        <v>64</v>
      </c>
      <c r="B84" s="232" t="s">
        <v>86</v>
      </c>
      <c r="C84" s="239" t="s">
        <v>1215</v>
      </c>
      <c r="D84" s="130" t="s">
        <v>1217</v>
      </c>
      <c r="E84" s="241" t="s">
        <v>25</v>
      </c>
      <c r="F84" s="219">
        <f>ROUND((2451.77/25.64),2)</f>
        <v>95.62</v>
      </c>
      <c r="G84" s="258" t="s">
        <v>1238</v>
      </c>
    </row>
    <row r="85" spans="1:7">
      <c r="A85" s="10">
        <v>7</v>
      </c>
      <c r="B85" s="13"/>
      <c r="C85" s="13"/>
      <c r="D85" s="10" t="s">
        <v>72</v>
      </c>
      <c r="E85" s="13"/>
      <c r="F85" s="13"/>
      <c r="G85" s="13"/>
    </row>
    <row r="86" spans="1:7">
      <c r="A86" s="55" t="s">
        <v>68</v>
      </c>
      <c r="B86" s="44" t="s">
        <v>86</v>
      </c>
      <c r="C86" s="44" t="s">
        <v>74</v>
      </c>
      <c r="D86" s="209" t="s">
        <v>1139</v>
      </c>
      <c r="E86" s="43" t="s">
        <v>23</v>
      </c>
      <c r="F86" s="19">
        <f>(0.2*69.05)+(0.1*42.28)+(0.4*10)+(1.2*1.2*3)+2</f>
        <v>28.358000000000001</v>
      </c>
      <c r="G86" s="162" t="s">
        <v>1014</v>
      </c>
    </row>
    <row r="87" spans="1:7" ht="29.25">
      <c r="A87" s="55" t="s">
        <v>69</v>
      </c>
      <c r="B87" s="45" t="s">
        <v>86</v>
      </c>
      <c r="C87" s="46" t="s">
        <v>76</v>
      </c>
      <c r="D87" s="208" t="s">
        <v>1138</v>
      </c>
      <c r="E87" s="47" t="s">
        <v>23</v>
      </c>
      <c r="F87" s="48">
        <f>(0.3*0.4*3)</f>
        <v>0.36</v>
      </c>
      <c r="G87" s="253" t="s">
        <v>1220</v>
      </c>
    </row>
    <row r="88" spans="1:7">
      <c r="A88" s="55" t="s">
        <v>70</v>
      </c>
      <c r="B88" s="44" t="s">
        <v>86</v>
      </c>
      <c r="C88" s="6" t="s">
        <v>77</v>
      </c>
      <c r="D88" s="208" t="s">
        <v>1137</v>
      </c>
      <c r="E88" s="43" t="s">
        <v>23</v>
      </c>
      <c r="F88" s="19">
        <f>(0.3*0.4*3)</f>
        <v>0.36</v>
      </c>
      <c r="G88" s="253" t="s">
        <v>1220</v>
      </c>
    </row>
    <row r="89" spans="1:7">
      <c r="A89" s="55" t="s">
        <v>223</v>
      </c>
      <c r="B89" s="44" t="s">
        <v>86</v>
      </c>
      <c r="C89" s="44" t="s">
        <v>1257</v>
      </c>
      <c r="D89" s="267" t="s">
        <v>1258</v>
      </c>
      <c r="E89" s="260" t="s">
        <v>148</v>
      </c>
      <c r="F89" s="48">
        <f>ROUND((5.65*2.5*3),2)</f>
        <v>42.38</v>
      </c>
      <c r="G89" s="262" t="s">
        <v>1246</v>
      </c>
    </row>
    <row r="90" spans="1:7">
      <c r="A90" s="10">
        <v>8</v>
      </c>
      <c r="B90" s="10"/>
      <c r="C90" s="10"/>
      <c r="D90" s="10" t="s">
        <v>105</v>
      </c>
      <c r="E90" s="10"/>
      <c r="F90" s="10"/>
      <c r="G90" s="10"/>
    </row>
    <row r="91" spans="1:7">
      <c r="A91" s="70" t="s">
        <v>73</v>
      </c>
      <c r="B91" s="71" t="s">
        <v>86</v>
      </c>
      <c r="C91" s="6" t="s">
        <v>106</v>
      </c>
      <c r="D91" s="27" t="s">
        <v>107</v>
      </c>
      <c r="E91" s="71" t="s">
        <v>108</v>
      </c>
      <c r="F91" s="19">
        <v>1</v>
      </c>
      <c r="G91" s="143" t="s">
        <v>128</v>
      </c>
    </row>
    <row r="92" spans="1:7" ht="29.25">
      <c r="A92" s="70" t="s">
        <v>75</v>
      </c>
      <c r="B92" s="112" t="s">
        <v>86</v>
      </c>
      <c r="C92" s="129" t="s">
        <v>699</v>
      </c>
      <c r="D92" s="130" t="s">
        <v>1141</v>
      </c>
      <c r="E92" s="129" t="s">
        <v>26</v>
      </c>
      <c r="F92" s="154">
        <f>16+11+6</f>
        <v>33</v>
      </c>
      <c r="G92" s="143" t="s">
        <v>715</v>
      </c>
    </row>
    <row r="93" spans="1:7" ht="29.25">
      <c r="A93" s="70" t="s">
        <v>78</v>
      </c>
      <c r="B93" s="112" t="s">
        <v>86</v>
      </c>
      <c r="C93" s="127" t="s">
        <v>700</v>
      </c>
      <c r="D93" s="208" t="s">
        <v>1142</v>
      </c>
      <c r="E93" s="112" t="s">
        <v>26</v>
      </c>
      <c r="F93" s="19">
        <f>F92*4</f>
        <v>132</v>
      </c>
      <c r="G93" s="162" t="s">
        <v>1015</v>
      </c>
    </row>
    <row r="94" spans="1:7" ht="30" customHeight="1">
      <c r="A94" s="70" t="s">
        <v>109</v>
      </c>
      <c r="B94" s="71" t="s">
        <v>86</v>
      </c>
      <c r="C94" s="71" t="s">
        <v>123</v>
      </c>
      <c r="D94" s="208" t="s">
        <v>1143</v>
      </c>
      <c r="E94" s="71" t="s">
        <v>26</v>
      </c>
      <c r="F94" s="19">
        <f>F93</f>
        <v>132</v>
      </c>
      <c r="G94" s="162" t="s">
        <v>1015</v>
      </c>
    </row>
    <row r="95" spans="1:7" ht="29.25">
      <c r="A95" s="70" t="s">
        <v>112</v>
      </c>
      <c r="B95" s="71" t="s">
        <v>86</v>
      </c>
      <c r="C95" s="71" t="s">
        <v>124</v>
      </c>
      <c r="D95" s="208" t="s">
        <v>1144</v>
      </c>
      <c r="E95" s="71" t="s">
        <v>26</v>
      </c>
      <c r="F95" s="19">
        <f>F94</f>
        <v>132</v>
      </c>
      <c r="G95" s="162" t="s">
        <v>1015</v>
      </c>
    </row>
    <row r="96" spans="1:7" ht="29.25">
      <c r="A96" s="70" t="s">
        <v>113</v>
      </c>
      <c r="B96" s="71" t="s">
        <v>86</v>
      </c>
      <c r="C96" s="6" t="s">
        <v>110</v>
      </c>
      <c r="D96" s="208" t="s">
        <v>1145</v>
      </c>
      <c r="E96" s="71" t="s">
        <v>27</v>
      </c>
      <c r="F96" s="19">
        <f>23+23+16.76+21.25</f>
        <v>84.01</v>
      </c>
      <c r="G96" s="162" t="s">
        <v>1016</v>
      </c>
    </row>
    <row r="97" spans="1:7" ht="29.25">
      <c r="A97" s="70" t="s">
        <v>114</v>
      </c>
      <c r="B97" s="71" t="s">
        <v>86</v>
      </c>
      <c r="C97" s="6" t="s">
        <v>111</v>
      </c>
      <c r="D97" s="208" t="s">
        <v>1146</v>
      </c>
      <c r="E97" s="71" t="s">
        <v>27</v>
      </c>
      <c r="F97" s="19">
        <f>23+23+16.76+21.25</f>
        <v>84.01</v>
      </c>
      <c r="G97" s="162" t="s">
        <v>1016</v>
      </c>
    </row>
    <row r="98" spans="1:7" ht="29.25">
      <c r="A98" s="70" t="s">
        <v>117</v>
      </c>
      <c r="B98" s="71" t="s">
        <v>86</v>
      </c>
      <c r="C98" s="6" t="s">
        <v>118</v>
      </c>
      <c r="D98" s="208" t="s">
        <v>1147</v>
      </c>
      <c r="E98" s="71" t="s">
        <v>26</v>
      </c>
      <c r="F98" s="19">
        <f>8+5+2</f>
        <v>15</v>
      </c>
      <c r="G98" s="162" t="s">
        <v>1017</v>
      </c>
    </row>
    <row r="99" spans="1:7" ht="29.25">
      <c r="A99" s="70" t="s">
        <v>120</v>
      </c>
      <c r="B99" s="71" t="s">
        <v>86</v>
      </c>
      <c r="C99" s="6" t="s">
        <v>115</v>
      </c>
      <c r="D99" s="208" t="s">
        <v>1148</v>
      </c>
      <c r="E99" s="71" t="s">
        <v>27</v>
      </c>
      <c r="F99" s="19">
        <f>((72.8+15.92)*2)+194.86+261.72</f>
        <v>634.02</v>
      </c>
      <c r="G99" s="162" t="s">
        <v>1018</v>
      </c>
    </row>
    <row r="100" spans="1:7" ht="29.25">
      <c r="A100" s="70" t="s">
        <v>121</v>
      </c>
      <c r="B100" s="71" t="s">
        <v>86</v>
      </c>
      <c r="C100" s="71" t="s">
        <v>119</v>
      </c>
      <c r="D100" s="208" t="s">
        <v>1149</v>
      </c>
      <c r="E100" s="71" t="s">
        <v>27</v>
      </c>
      <c r="F100" s="19">
        <f>72.8+15.92+141.35+208.21</f>
        <v>438.28</v>
      </c>
      <c r="G100" s="162" t="s">
        <v>1019</v>
      </c>
    </row>
    <row r="101" spans="1:7" ht="29.25">
      <c r="A101" s="70" t="s">
        <v>122</v>
      </c>
      <c r="B101" s="71" t="s">
        <v>86</v>
      </c>
      <c r="C101" s="71" t="s">
        <v>95</v>
      </c>
      <c r="D101" s="208" t="s">
        <v>1150</v>
      </c>
      <c r="E101" s="71" t="s">
        <v>25</v>
      </c>
      <c r="F101" s="19">
        <f>(F100+F96)*0.4*0.5</f>
        <v>104.458</v>
      </c>
      <c r="G101" s="162" t="s">
        <v>1020</v>
      </c>
    </row>
    <row r="102" spans="1:7">
      <c r="A102" s="70" t="s">
        <v>701</v>
      </c>
      <c r="B102" s="71" t="s">
        <v>86</v>
      </c>
      <c r="C102" s="71" t="s">
        <v>48</v>
      </c>
      <c r="D102" s="208" t="s">
        <v>1151</v>
      </c>
      <c r="E102" s="71" t="s">
        <v>25</v>
      </c>
      <c r="F102" s="19">
        <f>(F96+F100)*0.5*0.03</f>
        <v>7.8343499999999988</v>
      </c>
      <c r="G102" s="162" t="s">
        <v>1021</v>
      </c>
    </row>
    <row r="103" spans="1:7">
      <c r="A103" s="70" t="s">
        <v>1010</v>
      </c>
      <c r="B103" s="112" t="s">
        <v>86</v>
      </c>
      <c r="C103" s="112" t="s">
        <v>697</v>
      </c>
      <c r="D103" s="208" t="s">
        <v>1152</v>
      </c>
      <c r="E103" s="127" t="s">
        <v>26</v>
      </c>
      <c r="F103" s="116">
        <v>20</v>
      </c>
      <c r="G103" s="162" t="s">
        <v>1022</v>
      </c>
    </row>
    <row r="104" spans="1:7">
      <c r="A104" s="70" t="s">
        <v>1011</v>
      </c>
      <c r="B104" s="112" t="s">
        <v>86</v>
      </c>
      <c r="C104" s="112" t="s">
        <v>371</v>
      </c>
      <c r="D104" s="208" t="s">
        <v>1153</v>
      </c>
      <c r="E104" s="127" t="s">
        <v>26</v>
      </c>
      <c r="F104" s="116">
        <v>20</v>
      </c>
      <c r="G104" s="162" t="s">
        <v>1022</v>
      </c>
    </row>
    <row r="105" spans="1:7">
      <c r="A105" s="10">
        <v>9</v>
      </c>
      <c r="B105" s="13"/>
      <c r="C105" s="13"/>
      <c r="D105" s="10" t="s">
        <v>79</v>
      </c>
      <c r="E105" s="13"/>
      <c r="F105" s="13"/>
      <c r="G105" s="13"/>
    </row>
    <row r="106" spans="1:7">
      <c r="A106" s="70" t="s">
        <v>81</v>
      </c>
      <c r="B106" s="44" t="s">
        <v>86</v>
      </c>
      <c r="C106" s="43" t="s">
        <v>56</v>
      </c>
      <c r="D106" s="25" t="s">
        <v>57</v>
      </c>
      <c r="E106" s="43" t="s">
        <v>23</v>
      </c>
      <c r="F106" s="6">
        <f>60.82+205.84+98.53+16.33+589.5</f>
        <v>971.02</v>
      </c>
      <c r="G106" s="162" t="s">
        <v>1024</v>
      </c>
    </row>
    <row r="107" spans="1:7">
      <c r="A107" s="70" t="s">
        <v>101</v>
      </c>
      <c r="B107" s="44" t="s">
        <v>86</v>
      </c>
      <c r="C107" s="43" t="s">
        <v>58</v>
      </c>
      <c r="D107" s="28" t="s">
        <v>59</v>
      </c>
      <c r="E107" s="43" t="s">
        <v>23</v>
      </c>
      <c r="F107" s="6">
        <f>F106</f>
        <v>971.02</v>
      </c>
      <c r="G107" s="162" t="s">
        <v>1024</v>
      </c>
    </row>
    <row r="108" spans="1:7">
      <c r="A108" s="70" t="s">
        <v>102</v>
      </c>
      <c r="B108" s="44" t="s">
        <v>86</v>
      </c>
      <c r="C108" s="43" t="s">
        <v>82</v>
      </c>
      <c r="D108" s="28" t="s">
        <v>84</v>
      </c>
      <c r="E108" s="43" t="s">
        <v>26</v>
      </c>
      <c r="F108" s="54">
        <f>8+10</f>
        <v>18</v>
      </c>
      <c r="G108" s="143" t="s">
        <v>127</v>
      </c>
    </row>
    <row r="109" spans="1:7">
      <c r="A109" s="70" t="s">
        <v>248</v>
      </c>
      <c r="B109" s="44" t="s">
        <v>86</v>
      </c>
      <c r="C109" s="176" t="s">
        <v>1109</v>
      </c>
      <c r="D109" s="28" t="s">
        <v>1110</v>
      </c>
      <c r="E109" s="43" t="s">
        <v>26</v>
      </c>
      <c r="F109" s="54">
        <v>15</v>
      </c>
      <c r="G109" s="205" t="s">
        <v>1111</v>
      </c>
    </row>
    <row r="110" spans="1:7">
      <c r="A110" s="10">
        <v>10</v>
      </c>
      <c r="B110" s="13"/>
      <c r="C110" s="13"/>
      <c r="D110" s="7" t="s">
        <v>22</v>
      </c>
      <c r="E110" s="13"/>
      <c r="F110" s="13"/>
      <c r="G110" s="13"/>
    </row>
    <row r="111" spans="1:7">
      <c r="A111" s="70" t="s">
        <v>103</v>
      </c>
      <c r="B111" s="44" t="s">
        <v>86</v>
      </c>
      <c r="C111" s="52" t="s">
        <v>28</v>
      </c>
      <c r="D111" s="1" t="s">
        <v>32</v>
      </c>
      <c r="E111" s="6" t="s">
        <v>23</v>
      </c>
      <c r="F111" s="154">
        <f>610.92+589.5+1877.5</f>
        <v>3077.92</v>
      </c>
      <c r="G111" s="162" t="s">
        <v>1023</v>
      </c>
    </row>
    <row r="112" spans="1:7" ht="9" customHeight="1">
      <c r="A112" s="134"/>
      <c r="B112" s="134"/>
      <c r="C112" s="134"/>
      <c r="D112" s="134"/>
      <c r="E112" s="134"/>
      <c r="F112" s="136"/>
      <c r="G112" s="136"/>
    </row>
    <row r="113" spans="1:7" ht="15.75">
      <c r="A113" s="106" t="s">
        <v>590</v>
      </c>
      <c r="B113" s="137"/>
      <c r="C113" s="137"/>
      <c r="D113" s="97" t="s">
        <v>132</v>
      </c>
      <c r="E113" s="137"/>
      <c r="F113" s="138"/>
      <c r="G113" s="137"/>
    </row>
    <row r="114" spans="1:7" ht="9" customHeight="1">
      <c r="A114" s="134"/>
      <c r="B114" s="134"/>
      <c r="C114" s="134"/>
      <c r="D114" s="134"/>
      <c r="E114" s="134"/>
      <c r="F114" s="135"/>
      <c r="G114" s="134"/>
    </row>
    <row r="115" spans="1:7">
      <c r="A115" s="10">
        <v>1</v>
      </c>
      <c r="B115" s="79"/>
      <c r="C115" s="79"/>
      <c r="D115" s="10" t="s">
        <v>13</v>
      </c>
      <c r="E115" s="79"/>
      <c r="F115" s="79"/>
      <c r="G115" s="79"/>
    </row>
    <row r="116" spans="1:7">
      <c r="A116" s="254" t="s">
        <v>9</v>
      </c>
      <c r="B116" s="82" t="s">
        <v>86</v>
      </c>
      <c r="C116" s="82" t="s">
        <v>133</v>
      </c>
      <c r="D116" s="86" t="s">
        <v>134</v>
      </c>
      <c r="E116" s="82" t="s">
        <v>23</v>
      </c>
      <c r="F116" s="84">
        <v>99.8</v>
      </c>
      <c r="G116" s="135" t="s">
        <v>716</v>
      </c>
    </row>
    <row r="117" spans="1:7">
      <c r="A117" s="254" t="s">
        <v>10</v>
      </c>
      <c r="B117" s="82" t="s">
        <v>86</v>
      </c>
      <c r="C117" s="82" t="s">
        <v>90</v>
      </c>
      <c r="D117" s="86" t="s">
        <v>91</v>
      </c>
      <c r="E117" s="82" t="s">
        <v>92</v>
      </c>
      <c r="F117" s="84">
        <v>5</v>
      </c>
      <c r="G117" s="179" t="s">
        <v>1062</v>
      </c>
    </row>
    <row r="118" spans="1:7">
      <c r="A118" s="10">
        <v>2</v>
      </c>
      <c r="B118" s="7"/>
      <c r="C118" s="7"/>
      <c r="D118" s="10" t="s">
        <v>135</v>
      </c>
      <c r="E118" s="13"/>
      <c r="F118" s="13"/>
      <c r="G118" s="13"/>
    </row>
    <row r="119" spans="1:7" ht="29.25">
      <c r="A119" s="86" t="s">
        <v>14</v>
      </c>
      <c r="B119" s="82" t="s">
        <v>86</v>
      </c>
      <c r="C119" s="82" t="s">
        <v>136</v>
      </c>
      <c r="D119" s="83" t="s">
        <v>137</v>
      </c>
      <c r="E119" s="82" t="s">
        <v>138</v>
      </c>
      <c r="F119" s="84">
        <v>1</v>
      </c>
      <c r="G119" s="143" t="s">
        <v>717</v>
      </c>
    </row>
    <row r="120" spans="1:7">
      <c r="A120" s="86" t="s">
        <v>41</v>
      </c>
      <c r="B120" s="82" t="s">
        <v>86</v>
      </c>
      <c r="C120" s="82" t="s">
        <v>139</v>
      </c>
      <c r="D120" s="86" t="s">
        <v>140</v>
      </c>
      <c r="E120" s="82" t="s">
        <v>27</v>
      </c>
      <c r="F120" s="84">
        <f>(26*8)</f>
        <v>208</v>
      </c>
      <c r="G120" s="255" t="s">
        <v>1223</v>
      </c>
    </row>
    <row r="121" spans="1:7">
      <c r="A121" s="86" t="s">
        <v>44</v>
      </c>
      <c r="B121" s="256" t="s">
        <v>86</v>
      </c>
      <c r="C121" s="82" t="s">
        <v>594</v>
      </c>
      <c r="D121" s="86" t="s">
        <v>595</v>
      </c>
      <c r="E121" s="256" t="s">
        <v>27</v>
      </c>
      <c r="F121" s="84">
        <f>(2*5)</f>
        <v>10</v>
      </c>
      <c r="G121" s="255" t="s">
        <v>1224</v>
      </c>
    </row>
    <row r="122" spans="1:7">
      <c r="A122" s="86" t="s">
        <v>49</v>
      </c>
      <c r="B122" s="82" t="s">
        <v>86</v>
      </c>
      <c r="C122" s="82" t="s">
        <v>141</v>
      </c>
      <c r="D122" s="86" t="s">
        <v>142</v>
      </c>
      <c r="E122" s="82" t="s">
        <v>25</v>
      </c>
      <c r="F122" s="84">
        <f>(0.2*0.3*57.38)</f>
        <v>3.4428000000000001</v>
      </c>
      <c r="G122" s="145" t="s">
        <v>718</v>
      </c>
    </row>
    <row r="123" spans="1:7">
      <c r="A123" s="86" t="s">
        <v>145</v>
      </c>
      <c r="B123" s="82" t="s">
        <v>86</v>
      </c>
      <c r="C123" s="82" t="s">
        <v>143</v>
      </c>
      <c r="D123" s="83" t="s">
        <v>144</v>
      </c>
      <c r="E123" s="82" t="s">
        <v>25</v>
      </c>
      <c r="F123" s="84">
        <f>F122</f>
        <v>3.4428000000000001</v>
      </c>
      <c r="G123" s="143" t="s">
        <v>718</v>
      </c>
    </row>
    <row r="124" spans="1:7">
      <c r="A124" s="86" t="s">
        <v>149</v>
      </c>
      <c r="B124" s="82" t="s">
        <v>86</v>
      </c>
      <c r="C124" s="82" t="s">
        <v>146</v>
      </c>
      <c r="D124" s="86" t="s">
        <v>147</v>
      </c>
      <c r="E124" s="82" t="s">
        <v>148</v>
      </c>
      <c r="F124" s="84">
        <f>F122*80</f>
        <v>275.42399999999998</v>
      </c>
      <c r="G124" s="143" t="s">
        <v>719</v>
      </c>
    </row>
    <row r="125" spans="1:7">
      <c r="A125" s="86" t="s">
        <v>152</v>
      </c>
      <c r="B125" s="82" t="s">
        <v>86</v>
      </c>
      <c r="C125" s="82" t="s">
        <v>150</v>
      </c>
      <c r="D125" s="86" t="s">
        <v>151</v>
      </c>
      <c r="E125" s="82" t="s">
        <v>148</v>
      </c>
      <c r="F125" s="84">
        <f>F122*14</f>
        <v>48.199200000000005</v>
      </c>
      <c r="G125" s="144" t="s">
        <v>720</v>
      </c>
    </row>
    <row r="126" spans="1:7">
      <c r="A126" s="86" t="s">
        <v>154</v>
      </c>
      <c r="B126" s="82" t="s">
        <v>86</v>
      </c>
      <c r="C126" s="82" t="s">
        <v>141</v>
      </c>
      <c r="D126" s="86" t="s">
        <v>153</v>
      </c>
      <c r="E126" s="82" t="s">
        <v>25</v>
      </c>
      <c r="F126" s="84">
        <f>(0.5*0.5*0.4*26)</f>
        <v>2.6</v>
      </c>
      <c r="G126" s="143" t="s">
        <v>721</v>
      </c>
    </row>
    <row r="127" spans="1:7" ht="29.25">
      <c r="A127" s="86" t="s">
        <v>156</v>
      </c>
      <c r="B127" s="82" t="s">
        <v>86</v>
      </c>
      <c r="C127" s="82" t="s">
        <v>143</v>
      </c>
      <c r="D127" s="83" t="s">
        <v>155</v>
      </c>
      <c r="E127" s="82" t="s">
        <v>25</v>
      </c>
      <c r="F127" s="84">
        <f>F126</f>
        <v>2.6</v>
      </c>
      <c r="G127" s="143" t="s">
        <v>722</v>
      </c>
    </row>
    <row r="128" spans="1:7">
      <c r="A128" s="86" t="s">
        <v>158</v>
      </c>
      <c r="B128" s="82" t="s">
        <v>86</v>
      </c>
      <c r="C128" s="82" t="s">
        <v>146</v>
      </c>
      <c r="D128" s="86" t="s">
        <v>157</v>
      </c>
      <c r="E128" s="82" t="s">
        <v>148</v>
      </c>
      <c r="F128" s="84">
        <f>F126*80</f>
        <v>208</v>
      </c>
      <c r="G128" s="143" t="s">
        <v>723</v>
      </c>
    </row>
    <row r="129" spans="1:7">
      <c r="A129" s="86" t="s">
        <v>160</v>
      </c>
      <c r="B129" s="82" t="s">
        <v>86</v>
      </c>
      <c r="C129" s="82" t="s">
        <v>150</v>
      </c>
      <c r="D129" s="86" t="s">
        <v>159</v>
      </c>
      <c r="E129" s="82" t="s">
        <v>148</v>
      </c>
      <c r="F129" s="84">
        <f>F126*14</f>
        <v>36.4</v>
      </c>
      <c r="G129" s="143" t="s">
        <v>724</v>
      </c>
    </row>
    <row r="130" spans="1:7">
      <c r="A130" s="86" t="s">
        <v>1163</v>
      </c>
      <c r="B130" s="82" t="s">
        <v>86</v>
      </c>
      <c r="C130" s="82" t="s">
        <v>161</v>
      </c>
      <c r="D130" s="86" t="s">
        <v>162</v>
      </c>
      <c r="E130" s="82" t="s">
        <v>25</v>
      </c>
      <c r="F130" s="84">
        <f>((0.2*57.38)+(0.5*0.5))*0.03</f>
        <v>0.35178000000000004</v>
      </c>
      <c r="G130" s="143" t="s">
        <v>725</v>
      </c>
    </row>
    <row r="131" spans="1:7">
      <c r="A131" s="10">
        <v>3</v>
      </c>
      <c r="B131" s="7"/>
      <c r="C131" s="7"/>
      <c r="D131" s="10" t="s">
        <v>163</v>
      </c>
      <c r="E131" s="13"/>
      <c r="F131" s="13"/>
      <c r="G131" s="13"/>
    </row>
    <row r="132" spans="1:7">
      <c r="A132" s="86" t="s">
        <v>15</v>
      </c>
      <c r="B132" s="82" t="s">
        <v>86</v>
      </c>
      <c r="C132" s="82" t="s">
        <v>141</v>
      </c>
      <c r="D132" s="83" t="s">
        <v>164</v>
      </c>
      <c r="E132" s="82" t="s">
        <v>25</v>
      </c>
      <c r="F132" s="84">
        <f>(0.15*0.25*6*10)+(0.15*0.25*3*16)</f>
        <v>4.05</v>
      </c>
      <c r="G132" s="144" t="s">
        <v>726</v>
      </c>
    </row>
    <row r="133" spans="1:7">
      <c r="A133" s="86" t="s">
        <v>47</v>
      </c>
      <c r="B133" s="82" t="s">
        <v>86</v>
      </c>
      <c r="C133" s="82" t="s">
        <v>146</v>
      </c>
      <c r="D133" s="25" t="s">
        <v>165</v>
      </c>
      <c r="E133" s="82" t="s">
        <v>148</v>
      </c>
      <c r="F133" s="84">
        <f>80*F132</f>
        <v>324</v>
      </c>
      <c r="G133" s="144" t="s">
        <v>727</v>
      </c>
    </row>
    <row r="134" spans="1:7">
      <c r="A134" s="86" t="s">
        <v>166</v>
      </c>
      <c r="B134" s="82" t="s">
        <v>86</v>
      </c>
      <c r="C134" s="82" t="s">
        <v>150</v>
      </c>
      <c r="D134" s="25" t="s">
        <v>167</v>
      </c>
      <c r="E134" s="82" t="s">
        <v>148</v>
      </c>
      <c r="F134" s="84">
        <f>14*F132</f>
        <v>56.699999999999996</v>
      </c>
      <c r="G134" s="144" t="s">
        <v>728</v>
      </c>
    </row>
    <row r="135" spans="1:7" ht="29.25">
      <c r="A135" s="86" t="s">
        <v>168</v>
      </c>
      <c r="B135" s="82" t="s">
        <v>86</v>
      </c>
      <c r="C135" s="82" t="s">
        <v>141</v>
      </c>
      <c r="D135" s="83" t="s">
        <v>169</v>
      </c>
      <c r="E135" s="82" t="s">
        <v>25</v>
      </c>
      <c r="F135" s="84">
        <f>(0.15*0.3*75.98)+(0.08*0.3*11.93)</f>
        <v>3.7054200000000002</v>
      </c>
      <c r="G135" s="144" t="s">
        <v>729</v>
      </c>
    </row>
    <row r="136" spans="1:7">
      <c r="A136" s="86" t="s">
        <v>170</v>
      </c>
      <c r="B136" s="82" t="s">
        <v>86</v>
      </c>
      <c r="C136" s="82" t="s">
        <v>146</v>
      </c>
      <c r="D136" s="25" t="s">
        <v>171</v>
      </c>
      <c r="E136" s="82" t="s">
        <v>148</v>
      </c>
      <c r="F136" s="84">
        <f>80*F135</f>
        <v>296.43360000000001</v>
      </c>
      <c r="G136" s="146" t="s">
        <v>730</v>
      </c>
    </row>
    <row r="137" spans="1:7">
      <c r="A137" s="86" t="s">
        <v>172</v>
      </c>
      <c r="B137" s="82" t="s">
        <v>86</v>
      </c>
      <c r="C137" s="82" t="s">
        <v>150</v>
      </c>
      <c r="D137" s="25" t="s">
        <v>173</v>
      </c>
      <c r="E137" s="82" t="s">
        <v>148</v>
      </c>
      <c r="F137" s="84">
        <f>14*F135</f>
        <v>51.875880000000002</v>
      </c>
      <c r="G137" s="144" t="s">
        <v>731</v>
      </c>
    </row>
    <row r="138" spans="1:7" ht="30" customHeight="1">
      <c r="A138" s="86" t="s">
        <v>174</v>
      </c>
      <c r="B138" s="82" t="s">
        <v>86</v>
      </c>
      <c r="C138" s="82" t="s">
        <v>175</v>
      </c>
      <c r="D138" s="86" t="s">
        <v>176</v>
      </c>
      <c r="E138" s="82" t="s">
        <v>25</v>
      </c>
      <c r="F138" s="84">
        <f>((5.65*2)+(2.57*2)+1.9+2.4+0.9+1.2+2+1.6+(1.75*2)+(0.5*2))*0.15*0.15</f>
        <v>0.69614999999999982</v>
      </c>
      <c r="G138" s="144" t="s">
        <v>737</v>
      </c>
    </row>
    <row r="139" spans="1:7" ht="29.25">
      <c r="A139" s="86" t="s">
        <v>177</v>
      </c>
      <c r="B139" s="82" t="s">
        <v>86</v>
      </c>
      <c r="C139" s="82" t="s">
        <v>178</v>
      </c>
      <c r="D139" s="28" t="s">
        <v>179</v>
      </c>
      <c r="E139" s="82" t="s">
        <v>23</v>
      </c>
      <c r="F139" s="84">
        <f>18.2+21.85+24.61+2.84+11.85</f>
        <v>79.349999999999994</v>
      </c>
      <c r="G139" s="143" t="s">
        <v>732</v>
      </c>
    </row>
    <row r="140" spans="1:7" ht="29.25">
      <c r="A140" s="86" t="s">
        <v>180</v>
      </c>
      <c r="B140" s="82" t="s">
        <v>86</v>
      </c>
      <c r="C140" s="82" t="s">
        <v>181</v>
      </c>
      <c r="D140" s="28" t="s">
        <v>182</v>
      </c>
      <c r="E140" s="82" t="s">
        <v>23</v>
      </c>
      <c r="F140" s="84">
        <f>24.09+7.37</f>
        <v>31.46</v>
      </c>
      <c r="G140" s="145" t="s">
        <v>733</v>
      </c>
    </row>
    <row r="141" spans="1:7">
      <c r="A141" s="86" t="s">
        <v>183</v>
      </c>
      <c r="B141" s="82" t="s">
        <v>86</v>
      </c>
      <c r="C141" s="82" t="s">
        <v>184</v>
      </c>
      <c r="D141" s="86" t="s">
        <v>185</v>
      </c>
      <c r="E141" s="82" t="s">
        <v>25</v>
      </c>
      <c r="F141" s="84">
        <f>99.8*0.05</f>
        <v>4.99</v>
      </c>
      <c r="G141" s="143" t="s">
        <v>734</v>
      </c>
    </row>
    <row r="142" spans="1:7">
      <c r="A142" s="86" t="s">
        <v>186</v>
      </c>
      <c r="B142" s="82" t="s">
        <v>86</v>
      </c>
      <c r="C142" s="82" t="s">
        <v>187</v>
      </c>
      <c r="D142" s="86" t="s">
        <v>188</v>
      </c>
      <c r="E142" s="82" t="s">
        <v>23</v>
      </c>
      <c r="F142" s="84">
        <f>0.25*2*20</f>
        <v>10</v>
      </c>
      <c r="G142" s="143" t="s">
        <v>735</v>
      </c>
    </row>
    <row r="143" spans="1:7">
      <c r="A143" s="86" t="s">
        <v>189</v>
      </c>
      <c r="B143" s="82" t="s">
        <v>86</v>
      </c>
      <c r="C143" s="82" t="s">
        <v>190</v>
      </c>
      <c r="D143" s="86" t="s">
        <v>191</v>
      </c>
      <c r="E143" s="82" t="s">
        <v>25</v>
      </c>
      <c r="F143" s="84">
        <f>F132+F135+F141</f>
        <v>12.745419999999999</v>
      </c>
      <c r="G143" s="143" t="s">
        <v>736</v>
      </c>
    </row>
    <row r="144" spans="1:7">
      <c r="A144" s="10">
        <v>4</v>
      </c>
      <c r="B144" s="7"/>
      <c r="C144" s="7"/>
      <c r="D144" s="10" t="s">
        <v>192</v>
      </c>
      <c r="E144" s="13"/>
      <c r="F144" s="13"/>
      <c r="G144" s="13"/>
    </row>
    <row r="145" spans="1:7">
      <c r="A145" s="86" t="s">
        <v>16</v>
      </c>
      <c r="B145" s="82" t="s">
        <v>86</v>
      </c>
      <c r="C145" s="82" t="s">
        <v>193</v>
      </c>
      <c r="D145" s="25" t="s">
        <v>194</v>
      </c>
      <c r="E145" s="82" t="s">
        <v>25</v>
      </c>
      <c r="F145" s="84">
        <f>(57.38*0.15*0.2)*1.3</f>
        <v>2.2378200000000001</v>
      </c>
      <c r="G145" s="143" t="s">
        <v>738</v>
      </c>
    </row>
    <row r="146" spans="1:7">
      <c r="A146" s="86" t="s">
        <v>17</v>
      </c>
      <c r="B146" s="82" t="s">
        <v>86</v>
      </c>
      <c r="C146" s="82" t="s">
        <v>195</v>
      </c>
      <c r="D146" s="25" t="s">
        <v>196</v>
      </c>
      <c r="E146" s="82" t="s">
        <v>23</v>
      </c>
      <c r="F146" s="84">
        <f>(46.8*2.6)+(25.53*2.2)</f>
        <v>177.846</v>
      </c>
      <c r="G146" s="144" t="s">
        <v>739</v>
      </c>
    </row>
    <row r="147" spans="1:7" ht="29.25">
      <c r="A147" s="86" t="s">
        <v>93</v>
      </c>
      <c r="B147" s="82" t="s">
        <v>86</v>
      </c>
      <c r="C147" s="82" t="s">
        <v>181</v>
      </c>
      <c r="D147" s="28" t="s">
        <v>197</v>
      </c>
      <c r="E147" s="82" t="s">
        <v>23</v>
      </c>
      <c r="F147" s="84">
        <f>(57.38*0.55)+(46.78*1.5)</f>
        <v>101.72900000000001</v>
      </c>
      <c r="G147" s="143" t="s">
        <v>740</v>
      </c>
    </row>
    <row r="148" spans="1:7" ht="29.25">
      <c r="A148" s="86" t="s">
        <v>94</v>
      </c>
      <c r="B148" s="82" t="s">
        <v>86</v>
      </c>
      <c r="C148" s="82" t="s">
        <v>198</v>
      </c>
      <c r="D148" s="28" t="s">
        <v>199</v>
      </c>
      <c r="E148" s="82" t="s">
        <v>23</v>
      </c>
      <c r="F148" s="84">
        <f>(57.38*0.4)</f>
        <v>22.952000000000002</v>
      </c>
      <c r="G148" s="143" t="s">
        <v>741</v>
      </c>
    </row>
    <row r="149" spans="1:7">
      <c r="A149" s="10">
        <v>5</v>
      </c>
      <c r="B149" s="7"/>
      <c r="C149" s="13"/>
      <c r="D149" s="10" t="s">
        <v>200</v>
      </c>
      <c r="E149" s="13"/>
      <c r="F149" s="13"/>
      <c r="G149" s="13"/>
    </row>
    <row r="150" spans="1:7">
      <c r="A150" s="86" t="s">
        <v>18</v>
      </c>
      <c r="B150" s="82" t="s">
        <v>86</v>
      </c>
      <c r="C150" s="82" t="s">
        <v>201</v>
      </c>
      <c r="D150" s="25" t="s">
        <v>202</v>
      </c>
      <c r="E150" s="82" t="s">
        <v>23</v>
      </c>
      <c r="F150" s="84">
        <f>(99.8-31.46)*1.077</f>
        <v>73.602180000000004</v>
      </c>
      <c r="G150" s="143" t="s">
        <v>742</v>
      </c>
    </row>
    <row r="151" spans="1:7">
      <c r="A151" s="86" t="s">
        <v>52</v>
      </c>
      <c r="B151" s="82" t="s">
        <v>86</v>
      </c>
      <c r="C151" s="82" t="s">
        <v>203</v>
      </c>
      <c r="D151" s="25" t="s">
        <v>204</v>
      </c>
      <c r="E151" s="82" t="s">
        <v>23</v>
      </c>
      <c r="F151" s="84">
        <f>(99.8-31.46)*1.077</f>
        <v>73.602180000000004</v>
      </c>
      <c r="G151" s="143" t="s">
        <v>742</v>
      </c>
    </row>
    <row r="152" spans="1:7">
      <c r="A152" s="86" t="s">
        <v>54</v>
      </c>
      <c r="B152" s="82" t="s">
        <v>86</v>
      </c>
      <c r="C152" s="82" t="s">
        <v>205</v>
      </c>
      <c r="D152" s="25" t="s">
        <v>206</v>
      </c>
      <c r="E152" s="82" t="s">
        <v>27</v>
      </c>
      <c r="F152" s="84">
        <v>3.6</v>
      </c>
      <c r="G152" s="143" t="s">
        <v>743</v>
      </c>
    </row>
    <row r="153" spans="1:7">
      <c r="A153" s="86" t="s">
        <v>55</v>
      </c>
      <c r="B153" s="82" t="s">
        <v>86</v>
      </c>
      <c r="C153" s="82" t="s">
        <v>207</v>
      </c>
      <c r="D153" s="86" t="s">
        <v>208</v>
      </c>
      <c r="E153" s="82" t="s">
        <v>27</v>
      </c>
      <c r="F153" s="84">
        <v>7.45</v>
      </c>
      <c r="G153" s="144" t="s">
        <v>744</v>
      </c>
    </row>
    <row r="154" spans="1:7">
      <c r="A154" s="86" t="s">
        <v>209</v>
      </c>
      <c r="B154" s="82" t="s">
        <v>86</v>
      </c>
      <c r="C154" s="82" t="s">
        <v>207</v>
      </c>
      <c r="D154" s="86" t="s">
        <v>210</v>
      </c>
      <c r="E154" s="82" t="s">
        <v>27</v>
      </c>
      <c r="F154" s="84">
        <f>6.8+3.5+5.5+2.23+4.4+6.7</f>
        <v>29.13</v>
      </c>
      <c r="G154" s="144" t="s">
        <v>745</v>
      </c>
    </row>
    <row r="155" spans="1:7">
      <c r="A155" s="86" t="s">
        <v>211</v>
      </c>
      <c r="B155" s="82" t="s">
        <v>86</v>
      </c>
      <c r="C155" s="82" t="s">
        <v>207</v>
      </c>
      <c r="D155" s="81" t="s">
        <v>212</v>
      </c>
      <c r="E155" s="82" t="s">
        <v>27</v>
      </c>
      <c r="F155" s="84">
        <v>6.2</v>
      </c>
      <c r="G155" s="143" t="s">
        <v>746</v>
      </c>
    </row>
    <row r="156" spans="1:7">
      <c r="A156" s="10">
        <v>6</v>
      </c>
      <c r="B156" s="7"/>
      <c r="C156" s="13"/>
      <c r="D156" s="10" t="s">
        <v>213</v>
      </c>
      <c r="E156" s="13"/>
      <c r="F156" s="13"/>
      <c r="G156" s="13"/>
    </row>
    <row r="157" spans="1:7">
      <c r="A157" s="86" t="s">
        <v>62</v>
      </c>
      <c r="B157" s="82" t="s">
        <v>86</v>
      </c>
      <c r="C157" s="82" t="s">
        <v>214</v>
      </c>
      <c r="D157" s="28" t="s">
        <v>215</v>
      </c>
      <c r="E157" s="82" t="s">
        <v>23</v>
      </c>
      <c r="F157" s="84">
        <f>32.08*1.077</f>
        <v>34.550159999999998</v>
      </c>
      <c r="G157" s="143" t="s">
        <v>747</v>
      </c>
    </row>
    <row r="158" spans="1:7" ht="29.25">
      <c r="A158" s="86" t="s">
        <v>64</v>
      </c>
      <c r="B158" s="82" t="s">
        <v>86</v>
      </c>
      <c r="C158" s="82" t="s">
        <v>682</v>
      </c>
      <c r="D158" s="28" t="s">
        <v>683</v>
      </c>
      <c r="E158" s="82" t="s">
        <v>23</v>
      </c>
      <c r="F158" s="84">
        <f>F157</f>
        <v>34.550159999999998</v>
      </c>
      <c r="G158" s="143" t="s">
        <v>747</v>
      </c>
    </row>
    <row r="159" spans="1:7">
      <c r="A159" s="10">
        <v>7</v>
      </c>
      <c r="B159" s="13"/>
      <c r="C159" s="13"/>
      <c r="D159" s="10" t="s">
        <v>216</v>
      </c>
      <c r="E159" s="13"/>
      <c r="F159" s="13"/>
      <c r="G159" s="13"/>
    </row>
    <row r="160" spans="1:7">
      <c r="A160" s="86" t="s">
        <v>68</v>
      </c>
      <c r="B160" s="82" t="s">
        <v>86</v>
      </c>
      <c r="C160" s="82" t="s">
        <v>217</v>
      </c>
      <c r="D160" s="86" t="s">
        <v>218</v>
      </c>
      <c r="E160" s="82" t="s">
        <v>23</v>
      </c>
      <c r="F160" s="84">
        <f>(46.78*2.6*2)+(25.53*2.2)+79.35</f>
        <v>378.77200000000005</v>
      </c>
      <c r="G160" s="143" t="s">
        <v>748</v>
      </c>
    </row>
    <row r="161" spans="1:7">
      <c r="A161" s="86" t="s">
        <v>69</v>
      </c>
      <c r="B161" s="82" t="s">
        <v>86</v>
      </c>
      <c r="C161" s="82" t="s">
        <v>219</v>
      </c>
      <c r="D161" s="25" t="s">
        <v>220</v>
      </c>
      <c r="E161" s="82" t="s">
        <v>23</v>
      </c>
      <c r="F161" s="84">
        <f>F160</f>
        <v>378.77200000000005</v>
      </c>
      <c r="G161" s="143" t="s">
        <v>748</v>
      </c>
    </row>
    <row r="162" spans="1:7" ht="43.5">
      <c r="A162" s="86" t="s">
        <v>70</v>
      </c>
      <c r="B162" s="82" t="s">
        <v>86</v>
      </c>
      <c r="C162" s="82" t="s">
        <v>221</v>
      </c>
      <c r="D162" s="28" t="s">
        <v>222</v>
      </c>
      <c r="E162" s="82" t="s">
        <v>23</v>
      </c>
      <c r="F162" s="84">
        <f>(7.1*2)-(0.9*2)-(0.2*1)</f>
        <v>12.2</v>
      </c>
      <c r="G162" s="145" t="s">
        <v>749</v>
      </c>
    </row>
    <row r="163" spans="1:7" ht="29.25">
      <c r="A163" s="86" t="s">
        <v>223</v>
      </c>
      <c r="B163" s="82" t="s">
        <v>86</v>
      </c>
      <c r="C163" s="82" t="s">
        <v>221</v>
      </c>
      <c r="D163" s="28" t="s">
        <v>224</v>
      </c>
      <c r="E163" s="82" t="s">
        <v>23</v>
      </c>
      <c r="F163" s="84">
        <f>(5.84*2)-(0.8*2)-(0.8*0.2)</f>
        <v>9.92</v>
      </c>
      <c r="G163" s="145" t="s">
        <v>750</v>
      </c>
    </row>
    <row r="164" spans="1:7" ht="29.25">
      <c r="A164" s="86" t="s">
        <v>225</v>
      </c>
      <c r="B164" s="82" t="s">
        <v>86</v>
      </c>
      <c r="C164" s="82" t="s">
        <v>221</v>
      </c>
      <c r="D164" s="28" t="s">
        <v>226</v>
      </c>
      <c r="E164" s="82" t="s">
        <v>23</v>
      </c>
      <c r="F164" s="84">
        <f>(9.95*2)-(0.8*2)-(1.2*1)</f>
        <v>17.099999999999998</v>
      </c>
      <c r="G164" s="145" t="s">
        <v>751</v>
      </c>
    </row>
    <row r="165" spans="1:7" ht="29.25">
      <c r="A165" s="86" t="s">
        <v>227</v>
      </c>
      <c r="B165" s="82" t="s">
        <v>86</v>
      </c>
      <c r="C165" s="82" t="s">
        <v>221</v>
      </c>
      <c r="D165" s="28" t="s">
        <v>228</v>
      </c>
      <c r="E165" s="82" t="s">
        <v>23</v>
      </c>
      <c r="F165" s="84">
        <f>(3.19*2)-(0.8*2)</f>
        <v>4.7799999999999994</v>
      </c>
      <c r="G165" s="145" t="s">
        <v>752</v>
      </c>
    </row>
    <row r="166" spans="1:7" ht="29.25">
      <c r="A166" s="86" t="s">
        <v>229</v>
      </c>
      <c r="B166" s="82" t="s">
        <v>86</v>
      </c>
      <c r="C166" s="82" t="s">
        <v>230</v>
      </c>
      <c r="D166" s="90" t="s">
        <v>231</v>
      </c>
      <c r="E166" s="82" t="s">
        <v>23</v>
      </c>
      <c r="F166" s="84">
        <f>F162+F163+F164+F165</f>
        <v>44</v>
      </c>
      <c r="G166" s="144" t="s">
        <v>753</v>
      </c>
    </row>
    <row r="167" spans="1:7">
      <c r="A167" s="10">
        <v>8</v>
      </c>
      <c r="B167" s="13"/>
      <c r="C167" s="13"/>
      <c r="D167" s="10" t="s">
        <v>233</v>
      </c>
      <c r="E167" s="13"/>
      <c r="F167" s="20"/>
      <c r="G167" s="20"/>
    </row>
    <row r="168" spans="1:7" ht="29.25">
      <c r="A168" s="86" t="s">
        <v>73</v>
      </c>
      <c r="B168" s="82" t="s">
        <v>86</v>
      </c>
      <c r="C168" s="82" t="s">
        <v>221</v>
      </c>
      <c r="D168" s="28" t="s">
        <v>234</v>
      </c>
      <c r="E168" s="82" t="s">
        <v>23</v>
      </c>
      <c r="F168" s="84">
        <f>((2.3+1.9)*1.5/2)+(1.62*0.93/2)</f>
        <v>3.9032999999999998</v>
      </c>
      <c r="G168" s="144" t="s">
        <v>754</v>
      </c>
    </row>
    <row r="169" spans="1:7" ht="29.25">
      <c r="A169" s="86" t="s">
        <v>75</v>
      </c>
      <c r="B169" s="82" t="s">
        <v>86</v>
      </c>
      <c r="C169" s="82" t="s">
        <v>221</v>
      </c>
      <c r="D169" s="28" t="s">
        <v>235</v>
      </c>
      <c r="E169" s="82" t="s">
        <v>23</v>
      </c>
      <c r="F169" s="84">
        <f>((1.7+0.8)*1.77/2)+(1.83*0.7/2)</f>
        <v>2.8529999999999998</v>
      </c>
      <c r="G169" s="145" t="s">
        <v>755</v>
      </c>
    </row>
    <row r="170" spans="1:7" ht="43.5">
      <c r="A170" s="86" t="s">
        <v>78</v>
      </c>
      <c r="B170" s="82" t="s">
        <v>86</v>
      </c>
      <c r="C170" s="82" t="s">
        <v>236</v>
      </c>
      <c r="D170" s="28" t="s">
        <v>237</v>
      </c>
      <c r="E170" s="82" t="s">
        <v>27</v>
      </c>
      <c r="F170" s="84">
        <f>1.9+1.5+2.3+0.93+1.62+0.81+1.77+1.7+0.7+1.83-1.6</f>
        <v>13.459999999999999</v>
      </c>
      <c r="G170" s="145" t="s">
        <v>756</v>
      </c>
    </row>
    <row r="171" spans="1:7" ht="29.25">
      <c r="A171" s="86" t="s">
        <v>109</v>
      </c>
      <c r="B171" s="82" t="s">
        <v>86</v>
      </c>
      <c r="C171" s="82" t="s">
        <v>230</v>
      </c>
      <c r="D171" s="28" t="s">
        <v>231</v>
      </c>
      <c r="E171" s="82" t="s">
        <v>23</v>
      </c>
      <c r="F171" s="84">
        <f>F168+F169+F173</f>
        <v>108.08879999999998</v>
      </c>
      <c r="G171" s="143" t="s">
        <v>757</v>
      </c>
    </row>
    <row r="172" spans="1:7" ht="29.25">
      <c r="A172" s="86" t="s">
        <v>112</v>
      </c>
      <c r="B172" s="82" t="s">
        <v>86</v>
      </c>
      <c r="C172" s="82" t="s">
        <v>238</v>
      </c>
      <c r="D172" s="28" t="s">
        <v>239</v>
      </c>
      <c r="E172" s="82" t="s">
        <v>27</v>
      </c>
      <c r="F172" s="84">
        <f>F170+F174</f>
        <v>66.88</v>
      </c>
      <c r="G172" s="145" t="s">
        <v>758</v>
      </c>
    </row>
    <row r="173" spans="1:7" ht="43.5">
      <c r="A173" s="86" t="s">
        <v>113</v>
      </c>
      <c r="B173" s="82" t="s">
        <v>86</v>
      </c>
      <c r="C173" s="82" t="s">
        <v>240</v>
      </c>
      <c r="D173" s="28" t="s">
        <v>241</v>
      </c>
      <c r="E173" s="82" t="s">
        <v>23</v>
      </c>
      <c r="F173" s="84">
        <f>50.21+43.61+((2.31+1.72)*2.5/2)+(2.2*2.25/2)</f>
        <v>101.33249999999998</v>
      </c>
      <c r="G173" s="143" t="s">
        <v>759</v>
      </c>
    </row>
    <row r="174" spans="1:7" ht="43.5">
      <c r="A174" s="86" t="s">
        <v>114</v>
      </c>
      <c r="B174" s="82" t="s">
        <v>86</v>
      </c>
      <c r="C174" s="82" t="s">
        <v>242</v>
      </c>
      <c r="D174" s="126" t="s">
        <v>693</v>
      </c>
      <c r="E174" s="82" t="s">
        <v>27</v>
      </c>
      <c r="F174" s="84">
        <f>43.61+0.93+1.72+2.5+2.31+2.35</f>
        <v>53.42</v>
      </c>
      <c r="G174" s="143" t="s">
        <v>760</v>
      </c>
    </row>
    <row r="175" spans="1:7">
      <c r="A175" s="10">
        <v>9</v>
      </c>
      <c r="B175" s="13"/>
      <c r="C175" s="13"/>
      <c r="D175" s="10" t="s">
        <v>243</v>
      </c>
      <c r="E175" s="13"/>
      <c r="F175" s="13"/>
      <c r="G175" s="13"/>
    </row>
    <row r="176" spans="1:7">
      <c r="A176" s="86" t="s">
        <v>81</v>
      </c>
      <c r="B176" s="82" t="s">
        <v>86</v>
      </c>
      <c r="C176" s="82" t="s">
        <v>244</v>
      </c>
      <c r="D176" s="86" t="s">
        <v>245</v>
      </c>
      <c r="E176" s="82" t="s">
        <v>23</v>
      </c>
      <c r="F176" s="84">
        <f>65.55*1</f>
        <v>65.55</v>
      </c>
      <c r="G176" s="143" t="s">
        <v>761</v>
      </c>
    </row>
    <row r="177" spans="1:7" ht="29.25">
      <c r="A177" s="86" t="s">
        <v>101</v>
      </c>
      <c r="B177" s="82" t="s">
        <v>86</v>
      </c>
      <c r="C177" s="82" t="s">
        <v>221</v>
      </c>
      <c r="D177" s="28" t="s">
        <v>246</v>
      </c>
      <c r="E177" s="82" t="s">
        <v>23</v>
      </c>
      <c r="F177" s="84">
        <v>25.89</v>
      </c>
      <c r="G177" s="143" t="s">
        <v>762</v>
      </c>
    </row>
    <row r="178" spans="1:7" ht="43.5">
      <c r="A178" s="86" t="s">
        <v>102</v>
      </c>
      <c r="B178" s="82" t="s">
        <v>86</v>
      </c>
      <c r="C178" s="82" t="s">
        <v>236</v>
      </c>
      <c r="D178" s="28" t="s">
        <v>247</v>
      </c>
      <c r="E178" s="82" t="s">
        <v>27</v>
      </c>
      <c r="F178" s="84">
        <v>32</v>
      </c>
      <c r="G178" s="143" t="s">
        <v>763</v>
      </c>
    </row>
    <row r="179" spans="1:7" ht="29.25">
      <c r="A179" s="86" t="s">
        <v>248</v>
      </c>
      <c r="B179" s="82" t="s">
        <v>86</v>
      </c>
      <c r="C179" s="82" t="s">
        <v>230</v>
      </c>
      <c r="D179" s="28" t="s">
        <v>231</v>
      </c>
      <c r="E179" s="82" t="s">
        <v>23</v>
      </c>
      <c r="F179" s="84">
        <f>F177</f>
        <v>25.89</v>
      </c>
      <c r="G179" s="147" t="str">
        <f>G177</f>
        <v>Área externa do pavimento térreo.</v>
      </c>
    </row>
    <row r="180" spans="1:7" ht="29.25">
      <c r="A180" s="86" t="s">
        <v>249</v>
      </c>
      <c r="B180" s="82" t="s">
        <v>86</v>
      </c>
      <c r="C180" s="82" t="s">
        <v>238</v>
      </c>
      <c r="D180" s="28" t="s">
        <v>239</v>
      </c>
      <c r="E180" s="82" t="s">
        <v>27</v>
      </c>
      <c r="F180" s="84">
        <f>F178</f>
        <v>32</v>
      </c>
      <c r="G180" s="147" t="str">
        <f>G178</f>
        <v>Perímetro externo.</v>
      </c>
    </row>
    <row r="181" spans="1:7">
      <c r="A181" s="10">
        <v>10</v>
      </c>
      <c r="B181" s="13"/>
      <c r="C181" s="13"/>
      <c r="D181" s="10" t="s">
        <v>250</v>
      </c>
      <c r="E181" s="13"/>
      <c r="F181" s="13"/>
      <c r="G181" s="13"/>
    </row>
    <row r="182" spans="1:7" ht="43.5">
      <c r="A182" s="86" t="s">
        <v>103</v>
      </c>
      <c r="B182" s="82" t="s">
        <v>86</v>
      </c>
      <c r="C182" s="82" t="s">
        <v>251</v>
      </c>
      <c r="D182" s="28" t="s">
        <v>252</v>
      </c>
      <c r="E182" s="82" t="s">
        <v>26</v>
      </c>
      <c r="F182" s="82">
        <v>1</v>
      </c>
      <c r="G182" s="143" t="s">
        <v>764</v>
      </c>
    </row>
    <row r="183" spans="1:7" ht="43.5">
      <c r="A183" s="86" t="s">
        <v>253</v>
      </c>
      <c r="B183" s="82" t="s">
        <v>86</v>
      </c>
      <c r="C183" s="82" t="s">
        <v>254</v>
      </c>
      <c r="D183" s="28" t="s">
        <v>255</v>
      </c>
      <c r="E183" s="82" t="s">
        <v>26</v>
      </c>
      <c r="F183" s="82">
        <v>2</v>
      </c>
      <c r="G183" s="143" t="s">
        <v>765</v>
      </c>
    </row>
    <row r="184" spans="1:7">
      <c r="A184" s="86" t="s">
        <v>256</v>
      </c>
      <c r="B184" s="82" t="s">
        <v>86</v>
      </c>
      <c r="C184" s="82" t="s">
        <v>257</v>
      </c>
      <c r="D184" s="28" t="s">
        <v>258</v>
      </c>
      <c r="E184" s="82" t="s">
        <v>26</v>
      </c>
      <c r="F184" s="82">
        <v>1</v>
      </c>
      <c r="G184" s="143" t="s">
        <v>766</v>
      </c>
    </row>
    <row r="185" spans="1:7">
      <c r="A185" s="86" t="s">
        <v>259</v>
      </c>
      <c r="B185" s="82" t="s">
        <v>86</v>
      </c>
      <c r="C185" s="82" t="s">
        <v>260</v>
      </c>
      <c r="D185" s="28" t="s">
        <v>261</v>
      </c>
      <c r="E185" s="82" t="s">
        <v>26</v>
      </c>
      <c r="F185" s="82">
        <v>1</v>
      </c>
      <c r="G185" s="143" t="s">
        <v>766</v>
      </c>
    </row>
    <row r="186" spans="1:7">
      <c r="A186" s="86" t="s">
        <v>262</v>
      </c>
      <c r="B186" s="82" t="s">
        <v>86</v>
      </c>
      <c r="C186" s="82" t="s">
        <v>263</v>
      </c>
      <c r="D186" s="91" t="s">
        <v>264</v>
      </c>
      <c r="E186" s="82" t="s">
        <v>23</v>
      </c>
      <c r="F186" s="84">
        <f>(1.8*2.5)</f>
        <v>4.5</v>
      </c>
      <c r="G186" s="143" t="s">
        <v>767</v>
      </c>
    </row>
    <row r="187" spans="1:7" ht="29.25">
      <c r="A187" s="86" t="s">
        <v>265</v>
      </c>
      <c r="B187" s="82" t="s">
        <v>86</v>
      </c>
      <c r="C187" s="82" t="s">
        <v>263</v>
      </c>
      <c r="D187" s="91" t="s">
        <v>266</v>
      </c>
      <c r="E187" s="82" t="s">
        <v>23</v>
      </c>
      <c r="F187" s="84">
        <f>(1*0.8*0.8)+(1*0.4*2.2)+(1*1.7*1.6)+(1*2.57*2.2)+(2*2.45*2.2)+(1*1.9*0.8)+(1*1.3*0.8)+(1*1*0.8)</f>
        <v>24.033999999999999</v>
      </c>
      <c r="G187" s="144" t="s">
        <v>768</v>
      </c>
    </row>
    <row r="188" spans="1:7">
      <c r="A188" s="86" t="s">
        <v>267</v>
      </c>
      <c r="B188" s="82" t="s">
        <v>86</v>
      </c>
      <c r="C188" s="82" t="s">
        <v>268</v>
      </c>
      <c r="D188" s="91" t="s">
        <v>269</v>
      </c>
      <c r="E188" s="82" t="s">
        <v>23</v>
      </c>
      <c r="F188" s="84">
        <f>F187+F186</f>
        <v>28.533999999999999</v>
      </c>
      <c r="G188" s="143" t="s">
        <v>769</v>
      </c>
    </row>
    <row r="189" spans="1:7">
      <c r="A189" s="10">
        <v>11</v>
      </c>
      <c r="B189" s="13"/>
      <c r="C189" s="13"/>
      <c r="D189" s="7" t="s">
        <v>270</v>
      </c>
      <c r="E189" s="13"/>
      <c r="F189" s="13"/>
      <c r="G189" s="13"/>
    </row>
    <row r="190" spans="1:7">
      <c r="A190" s="86" t="s">
        <v>271</v>
      </c>
      <c r="B190" s="82" t="s">
        <v>86</v>
      </c>
      <c r="C190" s="54" t="s">
        <v>272</v>
      </c>
      <c r="D190" s="91" t="s">
        <v>273</v>
      </c>
      <c r="E190" s="82" t="s">
        <v>23</v>
      </c>
      <c r="F190" s="84">
        <f>F160</f>
        <v>378.77200000000005</v>
      </c>
      <c r="G190" s="143" t="s">
        <v>748</v>
      </c>
    </row>
    <row r="191" spans="1:7">
      <c r="A191" s="86" t="s">
        <v>274</v>
      </c>
      <c r="B191" s="82" t="s">
        <v>86</v>
      </c>
      <c r="C191" s="54" t="s">
        <v>275</v>
      </c>
      <c r="D191" s="91" t="s">
        <v>276</v>
      </c>
      <c r="E191" s="82" t="s">
        <v>23</v>
      </c>
      <c r="F191" s="84">
        <f>(14.9*4.7)+(19.61*3.3)+(17.83*3)+(4.93*3)+(8.13*3)+79.35-F186-F187-(0.9*2.1)-(0.8*2.1*2)-(0.7*2.1)-F162-F163-F164</f>
        <v>232.28900000000004</v>
      </c>
      <c r="G191" s="143" t="s">
        <v>770</v>
      </c>
    </row>
    <row r="192" spans="1:7">
      <c r="A192" s="86" t="s">
        <v>277</v>
      </c>
      <c r="B192" s="82" t="s">
        <v>86</v>
      </c>
      <c r="C192" s="54" t="s">
        <v>278</v>
      </c>
      <c r="D192" s="92" t="s">
        <v>279</v>
      </c>
      <c r="E192" s="82" t="s">
        <v>23</v>
      </c>
      <c r="F192" s="84">
        <f>F190-F191</f>
        <v>146.483</v>
      </c>
      <c r="G192" s="143" t="s">
        <v>771</v>
      </c>
    </row>
    <row r="193" spans="1:7">
      <c r="A193" s="86" t="s">
        <v>280</v>
      </c>
      <c r="B193" s="82" t="s">
        <v>86</v>
      </c>
      <c r="C193" s="82" t="s">
        <v>281</v>
      </c>
      <c r="D193" s="81" t="s">
        <v>282</v>
      </c>
      <c r="E193" s="82" t="s">
        <v>23</v>
      </c>
      <c r="F193" s="84">
        <f>(0.9*2.1*2)+(0.8*2.1*4)+(0.7*2.1*2)</f>
        <v>13.44</v>
      </c>
      <c r="G193" s="143" t="s">
        <v>772</v>
      </c>
    </row>
    <row r="194" spans="1:7">
      <c r="A194" s="10">
        <v>12</v>
      </c>
      <c r="B194" s="13"/>
      <c r="C194" s="13"/>
      <c r="D194" s="7" t="s">
        <v>284</v>
      </c>
      <c r="E194" s="13"/>
      <c r="F194" s="13"/>
      <c r="G194" s="13"/>
    </row>
    <row r="195" spans="1:7">
      <c r="A195" s="86" t="s">
        <v>285</v>
      </c>
      <c r="B195" s="82" t="s">
        <v>86</v>
      </c>
      <c r="C195" s="82" t="s">
        <v>286</v>
      </c>
      <c r="D195" s="91" t="s">
        <v>287</v>
      </c>
      <c r="E195" s="82" t="s">
        <v>26</v>
      </c>
      <c r="F195" s="82">
        <v>1</v>
      </c>
      <c r="G195" s="143" t="s">
        <v>773</v>
      </c>
    </row>
    <row r="196" spans="1:7" ht="29.25">
      <c r="A196" s="86" t="s">
        <v>288</v>
      </c>
      <c r="B196" s="82" t="s">
        <v>86</v>
      </c>
      <c r="C196" s="82" t="s">
        <v>289</v>
      </c>
      <c r="D196" s="92" t="s">
        <v>290</v>
      </c>
      <c r="E196" s="82" t="s">
        <v>26</v>
      </c>
      <c r="F196" s="82">
        <v>1</v>
      </c>
      <c r="G196" s="143" t="s">
        <v>773</v>
      </c>
    </row>
    <row r="197" spans="1:7" ht="29.25">
      <c r="A197" s="86" t="s">
        <v>291</v>
      </c>
      <c r="B197" s="82" t="s">
        <v>86</v>
      </c>
      <c r="C197" s="82" t="s">
        <v>292</v>
      </c>
      <c r="D197" s="92" t="s">
        <v>293</v>
      </c>
      <c r="E197" s="82" t="s">
        <v>26</v>
      </c>
      <c r="F197" s="84">
        <v>3</v>
      </c>
      <c r="G197" s="143" t="s">
        <v>773</v>
      </c>
    </row>
    <row r="198" spans="1:7" ht="29.25">
      <c r="A198" s="86" t="s">
        <v>294</v>
      </c>
      <c r="B198" s="82" t="s">
        <v>86</v>
      </c>
      <c r="C198" s="82" t="s">
        <v>295</v>
      </c>
      <c r="D198" s="92" t="s">
        <v>296</v>
      </c>
      <c r="E198" s="82" t="s">
        <v>26</v>
      </c>
      <c r="F198" s="84">
        <v>2</v>
      </c>
      <c r="G198" s="143" t="s">
        <v>773</v>
      </c>
    </row>
    <row r="199" spans="1:7" ht="29.25">
      <c r="A199" s="86" t="s">
        <v>297</v>
      </c>
      <c r="B199" s="82" t="s">
        <v>86</v>
      </c>
      <c r="C199" s="82" t="s">
        <v>298</v>
      </c>
      <c r="D199" s="92" t="s">
        <v>677</v>
      </c>
      <c r="E199" s="82" t="s">
        <v>23</v>
      </c>
      <c r="F199" s="84">
        <f>(0.9*0.4*2)</f>
        <v>0.72000000000000008</v>
      </c>
      <c r="G199" s="143" t="s">
        <v>773</v>
      </c>
    </row>
    <row r="200" spans="1:7">
      <c r="A200" s="86" t="s">
        <v>299</v>
      </c>
      <c r="B200" s="82" t="s">
        <v>86</v>
      </c>
      <c r="C200" s="82" t="s">
        <v>300</v>
      </c>
      <c r="D200" s="91" t="s">
        <v>301</v>
      </c>
      <c r="E200" s="82" t="s">
        <v>26</v>
      </c>
      <c r="F200" s="84">
        <v>2</v>
      </c>
      <c r="G200" s="143" t="s">
        <v>774</v>
      </c>
    </row>
    <row r="201" spans="1:7">
      <c r="A201" s="86" t="s">
        <v>302</v>
      </c>
      <c r="B201" s="82" t="s">
        <v>86</v>
      </c>
      <c r="C201" s="82" t="s">
        <v>303</v>
      </c>
      <c r="D201" s="91" t="s">
        <v>304</v>
      </c>
      <c r="E201" s="82" t="s">
        <v>26</v>
      </c>
      <c r="F201" s="84">
        <v>2</v>
      </c>
      <c r="G201" s="143" t="s">
        <v>774</v>
      </c>
    </row>
    <row r="202" spans="1:7">
      <c r="A202" s="86" t="s">
        <v>305</v>
      </c>
      <c r="B202" s="82" t="s">
        <v>86</v>
      </c>
      <c r="C202" s="82" t="s">
        <v>306</v>
      </c>
      <c r="D202" s="91" t="s">
        <v>307</v>
      </c>
      <c r="E202" s="82" t="s">
        <v>23</v>
      </c>
      <c r="F202" s="84">
        <f>(1*1)+(1*1)</f>
        <v>2</v>
      </c>
      <c r="G202" s="143" t="s">
        <v>775</v>
      </c>
    </row>
    <row r="203" spans="1:7">
      <c r="A203" s="86" t="s">
        <v>308</v>
      </c>
      <c r="B203" s="82" t="s">
        <v>86</v>
      </c>
      <c r="C203" s="82" t="s">
        <v>309</v>
      </c>
      <c r="D203" s="91" t="s">
        <v>310</v>
      </c>
      <c r="E203" s="82" t="s">
        <v>26</v>
      </c>
      <c r="F203" s="84">
        <v>2</v>
      </c>
      <c r="G203" s="143" t="s">
        <v>774</v>
      </c>
    </row>
    <row r="204" spans="1:7" ht="29.25">
      <c r="A204" s="86" t="s">
        <v>311</v>
      </c>
      <c r="B204" s="82" t="s">
        <v>86</v>
      </c>
      <c r="C204" s="82" t="s">
        <v>312</v>
      </c>
      <c r="D204" s="92" t="s">
        <v>313</v>
      </c>
      <c r="E204" s="82" t="s">
        <v>26</v>
      </c>
      <c r="F204" s="84">
        <v>1</v>
      </c>
      <c r="G204" s="143" t="s">
        <v>773</v>
      </c>
    </row>
    <row r="205" spans="1:7">
      <c r="A205" s="86" t="s">
        <v>314</v>
      </c>
      <c r="B205" s="82" t="s">
        <v>86</v>
      </c>
      <c r="C205" s="82" t="s">
        <v>315</v>
      </c>
      <c r="D205" s="91" t="s">
        <v>316</v>
      </c>
      <c r="E205" s="82" t="s">
        <v>26</v>
      </c>
      <c r="F205" s="84">
        <v>1</v>
      </c>
      <c r="G205" s="143" t="s">
        <v>776</v>
      </c>
    </row>
    <row r="206" spans="1:7">
      <c r="A206" s="86" t="s">
        <v>317</v>
      </c>
      <c r="B206" s="82" t="s">
        <v>86</v>
      </c>
      <c r="C206" s="82" t="s">
        <v>318</v>
      </c>
      <c r="D206" s="91" t="s">
        <v>319</v>
      </c>
      <c r="E206" s="82" t="s">
        <v>26</v>
      </c>
      <c r="F206" s="84">
        <v>1</v>
      </c>
      <c r="G206" s="143" t="s">
        <v>776</v>
      </c>
    </row>
    <row r="207" spans="1:7">
      <c r="A207" s="86" t="s">
        <v>320</v>
      </c>
      <c r="B207" s="82" t="s">
        <v>86</v>
      </c>
      <c r="C207" s="82" t="s">
        <v>321</v>
      </c>
      <c r="D207" s="81" t="s">
        <v>322</v>
      </c>
      <c r="E207" s="82" t="s">
        <v>27</v>
      </c>
      <c r="F207" s="84">
        <f>(0.9*1)+(0.8*3)</f>
        <v>3.3000000000000003</v>
      </c>
      <c r="G207" s="143" t="s">
        <v>777</v>
      </c>
    </row>
    <row r="208" spans="1:7" ht="29.25">
      <c r="A208" s="86" t="s">
        <v>323</v>
      </c>
      <c r="B208" s="82" t="s">
        <v>86</v>
      </c>
      <c r="C208" s="54" t="s">
        <v>324</v>
      </c>
      <c r="D208" s="92" t="s">
        <v>325</v>
      </c>
      <c r="E208" s="82" t="s">
        <v>26</v>
      </c>
      <c r="F208" s="84">
        <v>1</v>
      </c>
      <c r="G208" s="143" t="s">
        <v>773</v>
      </c>
    </row>
    <row r="209" spans="1:7">
      <c r="A209" s="86" t="s">
        <v>326</v>
      </c>
      <c r="B209" s="82" t="s">
        <v>86</v>
      </c>
      <c r="C209" s="54" t="s">
        <v>327</v>
      </c>
      <c r="D209" s="91" t="s">
        <v>328</v>
      </c>
      <c r="E209" s="82" t="s">
        <v>26</v>
      </c>
      <c r="F209" s="84">
        <v>1</v>
      </c>
      <c r="G209" s="143" t="s">
        <v>776</v>
      </c>
    </row>
    <row r="210" spans="1:7">
      <c r="A210" s="86" t="s">
        <v>329</v>
      </c>
      <c r="B210" s="82" t="s">
        <v>86</v>
      </c>
      <c r="C210" s="82" t="s">
        <v>330</v>
      </c>
      <c r="D210" s="81" t="s">
        <v>331</v>
      </c>
      <c r="E210" s="82" t="s">
        <v>23</v>
      </c>
      <c r="F210" s="84">
        <f>(2.31+1.8)*0.6</f>
        <v>2.4660000000000002</v>
      </c>
      <c r="G210" s="143" t="s">
        <v>778</v>
      </c>
    </row>
    <row r="211" spans="1:7">
      <c r="A211" s="86" t="s">
        <v>332</v>
      </c>
      <c r="B211" s="82" t="s">
        <v>86</v>
      </c>
      <c r="C211" s="82" t="s">
        <v>330</v>
      </c>
      <c r="D211" s="81" t="s">
        <v>333</v>
      </c>
      <c r="E211" s="82" t="s">
        <v>23</v>
      </c>
      <c r="F211" s="84">
        <f>(0.9*0.6)</f>
        <v>0.54</v>
      </c>
      <c r="G211" s="143" t="s">
        <v>779</v>
      </c>
    </row>
    <row r="212" spans="1:7" ht="29.25">
      <c r="A212" s="86" t="s">
        <v>334</v>
      </c>
      <c r="B212" s="82" t="s">
        <v>86</v>
      </c>
      <c r="C212" s="82" t="s">
        <v>335</v>
      </c>
      <c r="D212" s="92" t="s">
        <v>336</v>
      </c>
      <c r="E212" s="82" t="s">
        <v>26</v>
      </c>
      <c r="F212" s="84">
        <v>1</v>
      </c>
      <c r="G212" s="143" t="s">
        <v>776</v>
      </c>
    </row>
    <row r="213" spans="1:7">
      <c r="A213" s="86" t="s">
        <v>337</v>
      </c>
      <c r="B213" s="82" t="s">
        <v>86</v>
      </c>
      <c r="C213" s="82" t="s">
        <v>338</v>
      </c>
      <c r="D213" s="91" t="s">
        <v>339</v>
      </c>
      <c r="E213" s="82" t="s">
        <v>26</v>
      </c>
      <c r="F213" s="84">
        <v>1</v>
      </c>
      <c r="G213" s="143" t="s">
        <v>780</v>
      </c>
    </row>
    <row r="214" spans="1:7">
      <c r="A214" s="86" t="s">
        <v>340</v>
      </c>
      <c r="B214" s="82" t="s">
        <v>86</v>
      </c>
      <c r="C214" s="82" t="s">
        <v>341</v>
      </c>
      <c r="D214" s="91" t="s">
        <v>342</v>
      </c>
      <c r="E214" s="82" t="s">
        <v>26</v>
      </c>
      <c r="F214" s="84">
        <v>1</v>
      </c>
      <c r="G214" s="143" t="s">
        <v>780</v>
      </c>
    </row>
    <row r="215" spans="1:7">
      <c r="A215" s="86" t="s">
        <v>343</v>
      </c>
      <c r="B215" s="82" t="s">
        <v>86</v>
      </c>
      <c r="C215" s="82" t="s">
        <v>344</v>
      </c>
      <c r="D215" s="91" t="s">
        <v>345</v>
      </c>
      <c r="E215" s="82" t="s">
        <v>26</v>
      </c>
      <c r="F215" s="84">
        <v>1</v>
      </c>
      <c r="G215" s="143" t="s">
        <v>780</v>
      </c>
    </row>
    <row r="216" spans="1:7" ht="30" customHeight="1">
      <c r="A216" s="86" t="s">
        <v>346</v>
      </c>
      <c r="B216" s="82" t="s">
        <v>86</v>
      </c>
      <c r="C216" s="82" t="s">
        <v>347</v>
      </c>
      <c r="D216" s="92" t="s">
        <v>348</v>
      </c>
      <c r="E216" s="82" t="s">
        <v>26</v>
      </c>
      <c r="F216" s="84">
        <v>2</v>
      </c>
      <c r="G216" s="143" t="s">
        <v>774</v>
      </c>
    </row>
    <row r="217" spans="1:7">
      <c r="A217" s="86" t="s">
        <v>349</v>
      </c>
      <c r="B217" s="82" t="s">
        <v>86</v>
      </c>
      <c r="C217" s="82" t="s">
        <v>350</v>
      </c>
      <c r="D217" s="91" t="s">
        <v>351</v>
      </c>
      <c r="E217" s="82" t="s">
        <v>26</v>
      </c>
      <c r="F217" s="84">
        <v>1</v>
      </c>
      <c r="G217" s="143" t="s">
        <v>781</v>
      </c>
    </row>
    <row r="218" spans="1:7">
      <c r="A218" s="86" t="s">
        <v>352</v>
      </c>
      <c r="B218" s="82" t="s">
        <v>86</v>
      </c>
      <c r="C218" s="82" t="s">
        <v>353</v>
      </c>
      <c r="D218" s="91" t="s">
        <v>354</v>
      </c>
      <c r="E218" s="82" t="s">
        <v>26</v>
      </c>
      <c r="F218" s="84">
        <v>1</v>
      </c>
      <c r="G218" s="143" t="s">
        <v>782</v>
      </c>
    </row>
    <row r="219" spans="1:7">
      <c r="A219" s="86" t="s">
        <v>355</v>
      </c>
      <c r="B219" s="82" t="s">
        <v>86</v>
      </c>
      <c r="C219" s="82" t="s">
        <v>356</v>
      </c>
      <c r="D219" s="91" t="s">
        <v>357</v>
      </c>
      <c r="E219" s="82" t="s">
        <v>26</v>
      </c>
      <c r="F219" s="84">
        <v>1</v>
      </c>
      <c r="G219" s="143" t="s">
        <v>783</v>
      </c>
    </row>
    <row r="220" spans="1:7">
      <c r="A220" s="86" t="s">
        <v>358</v>
      </c>
      <c r="B220" s="82" t="s">
        <v>86</v>
      </c>
      <c r="C220" s="82" t="s">
        <v>359</v>
      </c>
      <c r="D220" s="91" t="s">
        <v>360</v>
      </c>
      <c r="E220" s="82" t="s">
        <v>26</v>
      </c>
      <c r="F220" s="84">
        <v>1</v>
      </c>
      <c r="G220" s="143" t="s">
        <v>784</v>
      </c>
    </row>
    <row r="221" spans="1:7">
      <c r="A221" s="86" t="s">
        <v>361</v>
      </c>
      <c r="B221" s="82" t="s">
        <v>86</v>
      </c>
      <c r="C221" s="82" t="s">
        <v>362</v>
      </c>
      <c r="D221" s="91" t="s">
        <v>363</v>
      </c>
      <c r="E221" s="82" t="s">
        <v>26</v>
      </c>
      <c r="F221" s="84">
        <v>1</v>
      </c>
      <c r="G221" s="143" t="s">
        <v>785</v>
      </c>
    </row>
    <row r="222" spans="1:7">
      <c r="A222" s="10">
        <v>13</v>
      </c>
      <c r="B222" s="13"/>
      <c r="C222" s="13"/>
      <c r="D222" s="7" t="s">
        <v>1057</v>
      </c>
      <c r="E222" s="13"/>
      <c r="F222" s="13"/>
      <c r="G222" s="13"/>
    </row>
    <row r="223" spans="1:7" ht="29.25">
      <c r="A223" s="86" t="s">
        <v>365</v>
      </c>
      <c r="B223" s="82" t="s">
        <v>86</v>
      </c>
      <c r="C223" s="54" t="s">
        <v>366</v>
      </c>
      <c r="D223" s="92" t="s">
        <v>367</v>
      </c>
      <c r="E223" s="82" t="s">
        <v>26</v>
      </c>
      <c r="F223" s="84">
        <v>8</v>
      </c>
      <c r="G223" s="143" t="s">
        <v>786</v>
      </c>
    </row>
    <row r="224" spans="1:7" ht="29.25">
      <c r="A224" s="86" t="s">
        <v>368</v>
      </c>
      <c r="B224" s="82" t="s">
        <v>86</v>
      </c>
      <c r="C224" s="54" t="s">
        <v>369</v>
      </c>
      <c r="D224" s="92" t="s">
        <v>679</v>
      </c>
      <c r="E224" s="82" t="s">
        <v>26</v>
      </c>
      <c r="F224" s="84">
        <v>4</v>
      </c>
      <c r="G224" s="143" t="s">
        <v>787</v>
      </c>
    </row>
    <row r="225" spans="1:7">
      <c r="A225" s="86" t="s">
        <v>370</v>
      </c>
      <c r="B225" s="82" t="s">
        <v>86</v>
      </c>
      <c r="C225" s="54" t="s">
        <v>371</v>
      </c>
      <c r="D225" s="92" t="s">
        <v>372</v>
      </c>
      <c r="E225" s="82" t="s">
        <v>26</v>
      </c>
      <c r="F225" s="84">
        <f>(F223*2)+F227</f>
        <v>20</v>
      </c>
      <c r="G225" s="143" t="s">
        <v>788</v>
      </c>
    </row>
    <row r="226" spans="1:7">
      <c r="A226" s="86" t="s">
        <v>373</v>
      </c>
      <c r="B226" s="82" t="s">
        <v>86</v>
      </c>
      <c r="C226" s="54" t="s">
        <v>374</v>
      </c>
      <c r="D226" s="92" t="s">
        <v>375</v>
      </c>
      <c r="E226" s="82" t="s">
        <v>26</v>
      </c>
      <c r="F226" s="84">
        <f>F224*2</f>
        <v>8</v>
      </c>
      <c r="G226" s="143" t="s">
        <v>789</v>
      </c>
    </row>
    <row r="227" spans="1:7">
      <c r="A227" s="86" t="s">
        <v>376</v>
      </c>
      <c r="B227" s="82" t="s">
        <v>86</v>
      </c>
      <c r="C227" s="54" t="s">
        <v>377</v>
      </c>
      <c r="D227" s="92" t="s">
        <v>378</v>
      </c>
      <c r="E227" s="82" t="s">
        <v>26</v>
      </c>
      <c r="F227" s="84">
        <v>4</v>
      </c>
      <c r="G227" s="143" t="s">
        <v>790</v>
      </c>
    </row>
    <row r="228" spans="1:7" ht="29.25">
      <c r="A228" s="86" t="s">
        <v>379</v>
      </c>
      <c r="B228" s="82" t="s">
        <v>86</v>
      </c>
      <c r="C228" s="54" t="s">
        <v>380</v>
      </c>
      <c r="D228" s="92" t="s">
        <v>381</v>
      </c>
      <c r="E228" s="82" t="s">
        <v>26</v>
      </c>
      <c r="F228" s="84">
        <v>1</v>
      </c>
      <c r="G228" s="143" t="s">
        <v>791</v>
      </c>
    </row>
    <row r="229" spans="1:7">
      <c r="A229" s="86" t="s">
        <v>382</v>
      </c>
      <c r="B229" s="82" t="s">
        <v>86</v>
      </c>
      <c r="C229" s="54" t="s">
        <v>383</v>
      </c>
      <c r="D229" s="92" t="s">
        <v>384</v>
      </c>
      <c r="E229" s="82" t="s">
        <v>26</v>
      </c>
      <c r="F229" s="84">
        <v>1</v>
      </c>
      <c r="G229" s="143" t="s">
        <v>792</v>
      </c>
    </row>
    <row r="230" spans="1:7">
      <c r="A230" s="86" t="s">
        <v>385</v>
      </c>
      <c r="B230" s="82" t="s">
        <v>86</v>
      </c>
      <c r="C230" s="54" t="s">
        <v>386</v>
      </c>
      <c r="D230" s="92" t="s">
        <v>387</v>
      </c>
      <c r="E230" s="82" t="s">
        <v>26</v>
      </c>
      <c r="F230" s="84">
        <v>10</v>
      </c>
      <c r="G230" s="143" t="s">
        <v>793</v>
      </c>
    </row>
    <row r="231" spans="1:7">
      <c r="A231" s="86" t="s">
        <v>388</v>
      </c>
      <c r="B231" s="82" t="s">
        <v>86</v>
      </c>
      <c r="C231" s="54" t="s">
        <v>389</v>
      </c>
      <c r="D231" s="92" t="s">
        <v>390</v>
      </c>
      <c r="E231" s="82" t="s">
        <v>27</v>
      </c>
      <c r="F231" s="84">
        <v>137.88999999999999</v>
      </c>
      <c r="G231" s="150" t="s">
        <v>988</v>
      </c>
    </row>
    <row r="232" spans="1:7">
      <c r="A232" s="86" t="s">
        <v>391</v>
      </c>
      <c r="B232" s="82" t="s">
        <v>86</v>
      </c>
      <c r="C232" s="54" t="s">
        <v>392</v>
      </c>
      <c r="D232" s="92" t="s">
        <v>393</v>
      </c>
      <c r="E232" s="82" t="s">
        <v>27</v>
      </c>
      <c r="F232" s="84">
        <v>18</v>
      </c>
      <c r="G232" s="150" t="s">
        <v>987</v>
      </c>
    </row>
    <row r="233" spans="1:7">
      <c r="A233" s="86" t="s">
        <v>394</v>
      </c>
      <c r="B233" s="82" t="s">
        <v>86</v>
      </c>
      <c r="C233" s="54" t="s">
        <v>115</v>
      </c>
      <c r="D233" s="92" t="s">
        <v>116</v>
      </c>
      <c r="E233" s="82" t="s">
        <v>27</v>
      </c>
      <c r="F233" s="84">
        <v>94.81</v>
      </c>
      <c r="G233" s="150" t="s">
        <v>989</v>
      </c>
    </row>
    <row r="234" spans="1:7">
      <c r="A234" s="86" t="s">
        <v>395</v>
      </c>
      <c r="B234" s="82" t="s">
        <v>86</v>
      </c>
      <c r="C234" s="54" t="s">
        <v>396</v>
      </c>
      <c r="D234" s="92" t="s">
        <v>397</v>
      </c>
      <c r="E234" s="82" t="s">
        <v>27</v>
      </c>
      <c r="F234" s="84">
        <v>915.22</v>
      </c>
      <c r="G234" s="150" t="s">
        <v>990</v>
      </c>
    </row>
    <row r="235" spans="1:7">
      <c r="A235" s="86" t="s">
        <v>398</v>
      </c>
      <c r="B235" s="82" t="s">
        <v>86</v>
      </c>
      <c r="C235" s="54" t="s">
        <v>399</v>
      </c>
      <c r="D235" s="92" t="s">
        <v>400</v>
      </c>
      <c r="E235" s="82" t="s">
        <v>27</v>
      </c>
      <c r="F235" s="84">
        <v>14.41</v>
      </c>
      <c r="G235" s="150" t="s">
        <v>991</v>
      </c>
    </row>
    <row r="236" spans="1:7" ht="29.25">
      <c r="A236" s="86" t="s">
        <v>401</v>
      </c>
      <c r="B236" s="82" t="s">
        <v>86</v>
      </c>
      <c r="C236" s="54" t="s">
        <v>402</v>
      </c>
      <c r="D236" s="92" t="s">
        <v>403</v>
      </c>
      <c r="E236" s="82" t="s">
        <v>27</v>
      </c>
      <c r="F236" s="84">
        <v>10.37</v>
      </c>
      <c r="G236" s="150" t="s">
        <v>992</v>
      </c>
    </row>
    <row r="237" spans="1:7" ht="29.25">
      <c r="A237" s="86" t="s">
        <v>404</v>
      </c>
      <c r="B237" s="82" t="s">
        <v>86</v>
      </c>
      <c r="C237" s="54" t="s">
        <v>405</v>
      </c>
      <c r="D237" s="92" t="s">
        <v>406</v>
      </c>
      <c r="E237" s="82" t="s">
        <v>27</v>
      </c>
      <c r="F237" s="84">
        <v>31.05</v>
      </c>
      <c r="G237" s="150" t="s">
        <v>993</v>
      </c>
    </row>
    <row r="238" spans="1:7">
      <c r="A238" s="86" t="s">
        <v>407</v>
      </c>
      <c r="B238" s="82" t="s">
        <v>86</v>
      </c>
      <c r="C238" s="54" t="s">
        <v>408</v>
      </c>
      <c r="D238" s="92" t="s">
        <v>409</v>
      </c>
      <c r="E238" s="82" t="s">
        <v>26</v>
      </c>
      <c r="F238" s="84">
        <f>F240+F241+F242+F243+F244+F227</f>
        <v>33</v>
      </c>
      <c r="G238" s="143" t="s">
        <v>794</v>
      </c>
    </row>
    <row r="239" spans="1:7">
      <c r="A239" s="86" t="s">
        <v>410</v>
      </c>
      <c r="B239" s="82" t="s">
        <v>86</v>
      </c>
      <c r="C239" s="54" t="s">
        <v>411</v>
      </c>
      <c r="D239" s="92" t="s">
        <v>412</v>
      </c>
      <c r="E239" s="82" t="s">
        <v>26</v>
      </c>
      <c r="F239" s="84">
        <v>8</v>
      </c>
      <c r="G239" s="143" t="s">
        <v>795</v>
      </c>
    </row>
    <row r="240" spans="1:7">
      <c r="A240" s="86" t="s">
        <v>413</v>
      </c>
      <c r="B240" s="82" t="s">
        <v>86</v>
      </c>
      <c r="C240" s="54" t="s">
        <v>414</v>
      </c>
      <c r="D240" s="92" t="s">
        <v>415</v>
      </c>
      <c r="E240" s="82" t="s">
        <v>416</v>
      </c>
      <c r="F240" s="84">
        <v>1</v>
      </c>
      <c r="G240" s="143" t="s">
        <v>796</v>
      </c>
    </row>
    <row r="241" spans="1:7">
      <c r="A241" s="86" t="s">
        <v>417</v>
      </c>
      <c r="B241" s="82" t="s">
        <v>86</v>
      </c>
      <c r="C241" s="54" t="s">
        <v>418</v>
      </c>
      <c r="D241" s="92" t="s">
        <v>419</v>
      </c>
      <c r="E241" s="82" t="s">
        <v>416</v>
      </c>
      <c r="F241" s="84">
        <v>2</v>
      </c>
      <c r="G241" s="143" t="s">
        <v>796</v>
      </c>
    </row>
    <row r="242" spans="1:7">
      <c r="A242" s="86" t="s">
        <v>420</v>
      </c>
      <c r="B242" s="82" t="s">
        <v>86</v>
      </c>
      <c r="C242" s="54" t="s">
        <v>421</v>
      </c>
      <c r="D242" s="92" t="s">
        <v>422</v>
      </c>
      <c r="E242" s="82" t="s">
        <v>416</v>
      </c>
      <c r="F242" s="84">
        <v>5</v>
      </c>
      <c r="G242" s="143" t="s">
        <v>796</v>
      </c>
    </row>
    <row r="243" spans="1:7">
      <c r="A243" s="86" t="s">
        <v>423</v>
      </c>
      <c r="B243" s="82" t="s">
        <v>86</v>
      </c>
      <c r="C243" s="54" t="s">
        <v>424</v>
      </c>
      <c r="D243" s="92" t="s">
        <v>425</v>
      </c>
      <c r="E243" s="82" t="s">
        <v>416</v>
      </c>
      <c r="F243" s="84">
        <v>19</v>
      </c>
      <c r="G243" s="143" t="s">
        <v>797</v>
      </c>
    </row>
    <row r="244" spans="1:7">
      <c r="A244" s="86" t="s">
        <v>426</v>
      </c>
      <c r="B244" s="82" t="s">
        <v>86</v>
      </c>
      <c r="C244" s="54" t="s">
        <v>427</v>
      </c>
      <c r="D244" s="92" t="s">
        <v>428</v>
      </c>
      <c r="E244" s="82" t="s">
        <v>416</v>
      </c>
      <c r="F244" s="84">
        <v>2</v>
      </c>
      <c r="G244" s="143" t="s">
        <v>798</v>
      </c>
    </row>
    <row r="245" spans="1:7">
      <c r="A245" s="86" t="s">
        <v>429</v>
      </c>
      <c r="B245" s="82" t="s">
        <v>86</v>
      </c>
      <c r="C245" s="54" t="s">
        <v>430</v>
      </c>
      <c r="D245" s="92" t="s">
        <v>431</v>
      </c>
      <c r="E245" s="82" t="s">
        <v>148</v>
      </c>
      <c r="F245" s="84">
        <f>(0.403*3)</f>
        <v>1.2090000000000001</v>
      </c>
      <c r="G245" s="143" t="s">
        <v>799</v>
      </c>
    </row>
    <row r="246" spans="1:7">
      <c r="A246" s="86" t="s">
        <v>432</v>
      </c>
      <c r="B246" s="82" t="s">
        <v>86</v>
      </c>
      <c r="C246" s="54" t="s">
        <v>433</v>
      </c>
      <c r="D246" s="92" t="s">
        <v>434</v>
      </c>
      <c r="E246" s="82" t="s">
        <v>27</v>
      </c>
      <c r="F246" s="84">
        <f>(4+4+15)</f>
        <v>23</v>
      </c>
      <c r="G246" s="143" t="s">
        <v>800</v>
      </c>
    </row>
    <row r="247" spans="1:7">
      <c r="A247" s="10">
        <v>14</v>
      </c>
      <c r="B247" s="13"/>
      <c r="C247" s="13"/>
      <c r="D247" s="7" t="s">
        <v>1058</v>
      </c>
      <c r="E247" s="13"/>
      <c r="F247" s="13"/>
      <c r="G247" s="13"/>
    </row>
    <row r="248" spans="1:7">
      <c r="A248" s="86" t="s">
        <v>436</v>
      </c>
      <c r="B248" s="82" t="s">
        <v>86</v>
      </c>
      <c r="C248" s="82" t="s">
        <v>437</v>
      </c>
      <c r="D248" s="91" t="s">
        <v>438</v>
      </c>
      <c r="E248" s="82" t="s">
        <v>26</v>
      </c>
      <c r="F248" s="82">
        <v>1</v>
      </c>
      <c r="G248" s="143" t="s">
        <v>801</v>
      </c>
    </row>
    <row r="249" spans="1:7">
      <c r="A249" s="86" t="s">
        <v>439</v>
      </c>
      <c r="B249" s="82" t="s">
        <v>86</v>
      </c>
      <c r="C249" s="82" t="s">
        <v>440</v>
      </c>
      <c r="D249" s="91" t="s">
        <v>441</v>
      </c>
      <c r="E249" s="82" t="s">
        <v>27</v>
      </c>
      <c r="F249" s="84">
        <f>(15+10.2+2+8)</f>
        <v>35.200000000000003</v>
      </c>
      <c r="G249" s="143" t="s">
        <v>802</v>
      </c>
    </row>
    <row r="250" spans="1:7">
      <c r="A250" s="86" t="s">
        <v>442</v>
      </c>
      <c r="B250" s="82" t="s">
        <v>86</v>
      </c>
      <c r="C250" s="82" t="s">
        <v>443</v>
      </c>
      <c r="D250" s="91" t="s">
        <v>444</v>
      </c>
      <c r="E250" s="82" t="s">
        <v>27</v>
      </c>
      <c r="F250" s="84">
        <f>(2.2+2.8)</f>
        <v>5</v>
      </c>
      <c r="G250" s="143" t="s">
        <v>803</v>
      </c>
    </row>
    <row r="251" spans="1:7" ht="29.25">
      <c r="A251" s="86" t="s">
        <v>445</v>
      </c>
      <c r="B251" s="82" t="s">
        <v>86</v>
      </c>
      <c r="C251" s="82" t="s">
        <v>446</v>
      </c>
      <c r="D251" s="92" t="s">
        <v>678</v>
      </c>
      <c r="E251" s="82" t="s">
        <v>27</v>
      </c>
      <c r="F251" s="84">
        <f>(1+2.5+1+2.5+1+1.5+1+2)</f>
        <v>12.5</v>
      </c>
      <c r="G251" s="143" t="s">
        <v>804</v>
      </c>
    </row>
    <row r="252" spans="1:7" ht="29.25">
      <c r="A252" s="86" t="s">
        <v>447</v>
      </c>
      <c r="B252" s="82" t="s">
        <v>86</v>
      </c>
      <c r="C252" s="82" t="s">
        <v>448</v>
      </c>
      <c r="D252" s="92" t="s">
        <v>449</v>
      </c>
      <c r="E252" s="82" t="s">
        <v>27</v>
      </c>
      <c r="F252" s="84">
        <f>(4.5+2+5+7+45)</f>
        <v>63.5</v>
      </c>
      <c r="G252" s="143" t="s">
        <v>805</v>
      </c>
    </row>
    <row r="253" spans="1:7">
      <c r="A253" s="86" t="s">
        <v>450</v>
      </c>
      <c r="B253" s="82" t="s">
        <v>86</v>
      </c>
      <c r="C253" s="82" t="s">
        <v>451</v>
      </c>
      <c r="D253" s="91" t="s">
        <v>452</v>
      </c>
      <c r="E253" s="82" t="s">
        <v>26</v>
      </c>
      <c r="F253" s="84">
        <v>1</v>
      </c>
      <c r="G253" s="143" t="s">
        <v>806</v>
      </c>
    </row>
    <row r="254" spans="1:7">
      <c r="A254" s="86" t="s">
        <v>453</v>
      </c>
      <c r="B254" s="82" t="s">
        <v>86</v>
      </c>
      <c r="C254" s="82" t="s">
        <v>454</v>
      </c>
      <c r="D254" s="91" t="s">
        <v>455</v>
      </c>
      <c r="E254" s="82" t="s">
        <v>26</v>
      </c>
      <c r="F254" s="84">
        <v>3</v>
      </c>
      <c r="G254" s="143" t="s">
        <v>807</v>
      </c>
    </row>
    <row r="255" spans="1:7">
      <c r="A255" s="86" t="s">
        <v>456</v>
      </c>
      <c r="B255" s="82" t="s">
        <v>86</v>
      </c>
      <c r="C255" s="82" t="s">
        <v>457</v>
      </c>
      <c r="D255" s="91" t="s">
        <v>458</v>
      </c>
      <c r="E255" s="82" t="s">
        <v>26</v>
      </c>
      <c r="F255" s="84">
        <v>2</v>
      </c>
      <c r="G255" s="143" t="s">
        <v>808</v>
      </c>
    </row>
    <row r="256" spans="1:7">
      <c r="A256" s="86" t="s">
        <v>459</v>
      </c>
      <c r="B256" s="82" t="s">
        <v>86</v>
      </c>
      <c r="C256" s="82" t="s">
        <v>460</v>
      </c>
      <c r="D256" s="91" t="s">
        <v>461</v>
      </c>
      <c r="E256" s="82" t="s">
        <v>26</v>
      </c>
      <c r="F256" s="84">
        <v>1</v>
      </c>
      <c r="G256" s="143" t="s">
        <v>809</v>
      </c>
    </row>
    <row r="257" spans="1:7">
      <c r="A257" s="86" t="s">
        <v>462</v>
      </c>
      <c r="B257" s="82" t="s">
        <v>86</v>
      </c>
      <c r="C257" s="82" t="s">
        <v>463</v>
      </c>
      <c r="D257" s="91" t="s">
        <v>464</v>
      </c>
      <c r="E257" s="82" t="s">
        <v>26</v>
      </c>
      <c r="F257" s="84">
        <v>1</v>
      </c>
      <c r="G257" s="143" t="s">
        <v>810</v>
      </c>
    </row>
    <row r="258" spans="1:7">
      <c r="A258" s="86" t="s">
        <v>465</v>
      </c>
      <c r="B258" s="82" t="s">
        <v>86</v>
      </c>
      <c r="C258" s="82" t="s">
        <v>466</v>
      </c>
      <c r="D258" s="92" t="s">
        <v>467</v>
      </c>
      <c r="E258" s="82" t="s">
        <v>26</v>
      </c>
      <c r="F258" s="84">
        <v>3</v>
      </c>
      <c r="G258" s="143" t="s">
        <v>811</v>
      </c>
    </row>
    <row r="259" spans="1:7" ht="30" customHeight="1">
      <c r="A259" s="86" t="s">
        <v>468</v>
      </c>
      <c r="B259" s="82" t="s">
        <v>86</v>
      </c>
      <c r="C259" s="82" t="s">
        <v>469</v>
      </c>
      <c r="D259" s="92" t="s">
        <v>470</v>
      </c>
      <c r="E259" s="82" t="s">
        <v>26</v>
      </c>
      <c r="F259" s="84">
        <v>1</v>
      </c>
      <c r="G259" s="143" t="s">
        <v>811</v>
      </c>
    </row>
    <row r="260" spans="1:7" ht="29.25">
      <c r="A260" s="86" t="s">
        <v>471</v>
      </c>
      <c r="B260" s="82" t="s">
        <v>86</v>
      </c>
      <c r="C260" s="82" t="s">
        <v>472</v>
      </c>
      <c r="D260" s="92" t="s">
        <v>473</v>
      </c>
      <c r="E260" s="82" t="s">
        <v>26</v>
      </c>
      <c r="F260" s="84">
        <v>1</v>
      </c>
      <c r="G260" s="143" t="s">
        <v>773</v>
      </c>
    </row>
    <row r="261" spans="1:7">
      <c r="A261" s="86" t="s">
        <v>474</v>
      </c>
      <c r="B261" s="82" t="s">
        <v>86</v>
      </c>
      <c r="C261" s="82" t="s">
        <v>475</v>
      </c>
      <c r="D261" s="91" t="s">
        <v>476</v>
      </c>
      <c r="E261" s="82" t="s">
        <v>26</v>
      </c>
      <c r="F261" s="84">
        <v>1</v>
      </c>
      <c r="G261" s="143" t="s">
        <v>812</v>
      </c>
    </row>
    <row r="262" spans="1:7">
      <c r="A262" s="86" t="s">
        <v>477</v>
      </c>
      <c r="B262" s="82" t="s">
        <v>86</v>
      </c>
      <c r="C262" s="82" t="s">
        <v>478</v>
      </c>
      <c r="D262" s="91" t="s">
        <v>479</v>
      </c>
      <c r="E262" s="82" t="s">
        <v>26</v>
      </c>
      <c r="F262" s="84">
        <v>1</v>
      </c>
      <c r="G262" s="143" t="s">
        <v>812</v>
      </c>
    </row>
    <row r="263" spans="1:7">
      <c r="A263" s="86" t="s">
        <v>480</v>
      </c>
      <c r="B263" s="82" t="s">
        <v>86</v>
      </c>
      <c r="C263" s="82" t="s">
        <v>481</v>
      </c>
      <c r="D263" s="91" t="s">
        <v>482</v>
      </c>
      <c r="E263" s="82" t="s">
        <v>26</v>
      </c>
      <c r="F263" s="84">
        <v>1</v>
      </c>
      <c r="G263" s="143" t="s">
        <v>812</v>
      </c>
    </row>
    <row r="264" spans="1:7">
      <c r="A264" s="10">
        <v>15</v>
      </c>
      <c r="B264" s="13"/>
      <c r="C264" s="13"/>
      <c r="D264" s="7" t="s">
        <v>484</v>
      </c>
      <c r="E264" s="13"/>
      <c r="F264" s="13"/>
      <c r="G264" s="13"/>
    </row>
    <row r="265" spans="1:7">
      <c r="A265" s="93" t="s">
        <v>485</v>
      </c>
      <c r="B265" s="82" t="s">
        <v>86</v>
      </c>
      <c r="C265" s="82" t="s">
        <v>486</v>
      </c>
      <c r="D265" s="91" t="s">
        <v>487</v>
      </c>
      <c r="E265" s="82" t="s">
        <v>26</v>
      </c>
      <c r="F265" s="82">
        <v>1</v>
      </c>
      <c r="G265" s="143" t="s">
        <v>813</v>
      </c>
    </row>
    <row r="266" spans="1:7">
      <c r="A266" s="93" t="s">
        <v>488</v>
      </c>
      <c r="B266" s="82" t="s">
        <v>86</v>
      </c>
      <c r="C266" s="82" t="s">
        <v>489</v>
      </c>
      <c r="D266" s="91" t="s">
        <v>490</v>
      </c>
      <c r="E266" s="82" t="s">
        <v>26</v>
      </c>
      <c r="F266" s="82">
        <v>1</v>
      </c>
      <c r="G266" s="143" t="s">
        <v>814</v>
      </c>
    </row>
    <row r="267" spans="1:7" ht="29.25">
      <c r="A267" s="93" t="s">
        <v>491</v>
      </c>
      <c r="B267" s="82" t="s">
        <v>86</v>
      </c>
      <c r="C267" s="82" t="s">
        <v>492</v>
      </c>
      <c r="D267" s="92" t="s">
        <v>493</v>
      </c>
      <c r="E267" s="82" t="s">
        <v>26</v>
      </c>
      <c r="F267" s="82">
        <v>1</v>
      </c>
      <c r="G267" s="143" t="s">
        <v>815</v>
      </c>
    </row>
    <row r="268" spans="1:7">
      <c r="A268" s="93" t="s">
        <v>494</v>
      </c>
      <c r="B268" s="82" t="s">
        <v>86</v>
      </c>
      <c r="C268" s="82" t="s">
        <v>495</v>
      </c>
      <c r="D268" s="91" t="s">
        <v>496</v>
      </c>
      <c r="E268" s="82" t="s">
        <v>26</v>
      </c>
      <c r="F268" s="82">
        <v>2</v>
      </c>
      <c r="G268" s="143" t="s">
        <v>816</v>
      </c>
    </row>
    <row r="269" spans="1:7" ht="29.25">
      <c r="A269" s="93" t="s">
        <v>497</v>
      </c>
      <c r="B269" s="82" t="s">
        <v>86</v>
      </c>
      <c r="C269" s="112" t="s">
        <v>498</v>
      </c>
      <c r="D269" s="92" t="s">
        <v>499</v>
      </c>
      <c r="E269" s="82" t="s">
        <v>23</v>
      </c>
      <c r="F269" s="84">
        <f>(4*0.25)+(5*0.25)</f>
        <v>2.25</v>
      </c>
      <c r="G269" s="143" t="s">
        <v>817</v>
      </c>
    </row>
    <row r="270" spans="1:7" ht="29.25">
      <c r="A270" s="113" t="s">
        <v>588</v>
      </c>
      <c r="B270" s="82" t="s">
        <v>86</v>
      </c>
      <c r="C270" s="82" t="s">
        <v>684</v>
      </c>
      <c r="D270" s="92" t="s">
        <v>685</v>
      </c>
      <c r="E270" s="112" t="s">
        <v>23</v>
      </c>
      <c r="F270" s="84">
        <f>ROUND(1.8*0.25,2)</f>
        <v>0.45</v>
      </c>
      <c r="G270" s="135" t="s">
        <v>818</v>
      </c>
    </row>
    <row r="271" spans="1:7">
      <c r="A271" s="10">
        <v>16</v>
      </c>
      <c r="B271" s="13"/>
      <c r="C271" s="13"/>
      <c r="D271" s="7" t="s">
        <v>501</v>
      </c>
      <c r="E271" s="13"/>
      <c r="F271" s="13"/>
      <c r="G271" s="13"/>
    </row>
    <row r="272" spans="1:7">
      <c r="A272" s="86" t="s">
        <v>502</v>
      </c>
      <c r="B272" s="298" t="s">
        <v>86</v>
      </c>
      <c r="C272" s="82" t="s">
        <v>503</v>
      </c>
      <c r="D272" s="81" t="s">
        <v>504</v>
      </c>
      <c r="E272" s="82" t="s">
        <v>26</v>
      </c>
      <c r="F272" s="82">
        <v>1</v>
      </c>
      <c r="G272" s="143" t="s">
        <v>819</v>
      </c>
    </row>
    <row r="273" spans="1:7">
      <c r="A273" s="86" t="s">
        <v>505</v>
      </c>
      <c r="B273" s="82" t="s">
        <v>86</v>
      </c>
      <c r="C273" s="82" t="s">
        <v>506</v>
      </c>
      <c r="D273" s="81" t="s">
        <v>507</v>
      </c>
      <c r="E273" s="82" t="s">
        <v>26</v>
      </c>
      <c r="F273" s="82">
        <v>1</v>
      </c>
      <c r="G273" s="143" t="s">
        <v>820</v>
      </c>
    </row>
    <row r="274" spans="1:7">
      <c r="A274" s="10">
        <v>17</v>
      </c>
      <c r="B274" s="13"/>
      <c r="C274" s="13"/>
      <c r="D274" s="7" t="s">
        <v>22</v>
      </c>
      <c r="E274" s="13"/>
      <c r="F274" s="13"/>
      <c r="G274" s="13"/>
    </row>
    <row r="275" spans="1:7">
      <c r="A275" s="86" t="s">
        <v>509</v>
      </c>
      <c r="B275" s="298" t="s">
        <v>86</v>
      </c>
      <c r="C275" s="82" t="s">
        <v>28</v>
      </c>
      <c r="D275" s="81" t="s">
        <v>510</v>
      </c>
      <c r="E275" s="82" t="s">
        <v>23</v>
      </c>
      <c r="F275" s="84">
        <v>99.8</v>
      </c>
      <c r="G275" s="143" t="s">
        <v>821</v>
      </c>
    </row>
    <row r="276" spans="1:7" ht="9" customHeight="1">
      <c r="A276" s="134"/>
      <c r="B276" s="134"/>
      <c r="C276" s="134"/>
      <c r="D276" s="134"/>
      <c r="E276" s="134"/>
      <c r="F276" s="134"/>
      <c r="G276" s="134"/>
    </row>
    <row r="277" spans="1:7" ht="15.75">
      <c r="A277" s="106" t="s">
        <v>593</v>
      </c>
      <c r="B277" s="137"/>
      <c r="C277" s="137"/>
      <c r="D277" s="97" t="s">
        <v>591</v>
      </c>
      <c r="E277" s="137"/>
      <c r="F277" s="137"/>
      <c r="G277" s="137"/>
    </row>
    <row r="278" spans="1:7" ht="9" customHeight="1">
      <c r="A278" s="134"/>
      <c r="B278" s="134"/>
      <c r="C278" s="134"/>
      <c r="D278" s="134"/>
      <c r="E278" s="134"/>
      <c r="F278" s="134"/>
      <c r="G278" s="134"/>
    </row>
    <row r="279" spans="1:7">
      <c r="A279" s="10">
        <v>1</v>
      </c>
      <c r="B279" s="79"/>
      <c r="C279" s="79"/>
      <c r="D279" s="10" t="s">
        <v>13</v>
      </c>
      <c r="E279" s="79"/>
      <c r="F279" s="79"/>
      <c r="G279" s="79"/>
    </row>
    <row r="280" spans="1:7">
      <c r="A280" s="81" t="s">
        <v>9</v>
      </c>
      <c r="B280" s="82" t="s">
        <v>86</v>
      </c>
      <c r="C280" s="82" t="s">
        <v>513</v>
      </c>
      <c r="D280" s="86" t="s">
        <v>514</v>
      </c>
      <c r="E280" s="82" t="s">
        <v>25</v>
      </c>
      <c r="F280" s="84">
        <f>(9.1*6.6)*1.3</f>
        <v>78.078000000000003</v>
      </c>
      <c r="G280" s="143" t="s">
        <v>822</v>
      </c>
    </row>
    <row r="281" spans="1:7">
      <c r="A281" s="81" t="s">
        <v>10</v>
      </c>
      <c r="B281" s="82" t="s">
        <v>86</v>
      </c>
      <c r="C281" s="82" t="s">
        <v>87</v>
      </c>
      <c r="D281" s="83" t="s">
        <v>88</v>
      </c>
      <c r="E281" s="82" t="s">
        <v>25</v>
      </c>
      <c r="F281" s="84">
        <f>(79.5*0.3)</f>
        <v>23.849999999999998</v>
      </c>
      <c r="G281" s="135" t="s">
        <v>823</v>
      </c>
    </row>
    <row r="282" spans="1:7">
      <c r="A282" s="81" t="s">
        <v>11</v>
      </c>
      <c r="B282" s="82" t="s">
        <v>86</v>
      </c>
      <c r="C282" s="82" t="s">
        <v>133</v>
      </c>
      <c r="D282" s="86" t="s">
        <v>134</v>
      </c>
      <c r="E282" s="82" t="s">
        <v>23</v>
      </c>
      <c r="F282" s="84">
        <v>129.29</v>
      </c>
      <c r="G282" s="143" t="s">
        <v>824</v>
      </c>
    </row>
    <row r="283" spans="1:7">
      <c r="A283" s="81" t="s">
        <v>12</v>
      </c>
      <c r="B283" s="82" t="s">
        <v>86</v>
      </c>
      <c r="C283" s="82" t="s">
        <v>90</v>
      </c>
      <c r="D283" s="86" t="s">
        <v>91</v>
      </c>
      <c r="E283" s="82" t="s">
        <v>92</v>
      </c>
      <c r="F283" s="84">
        <v>4</v>
      </c>
      <c r="G283" s="143" t="s">
        <v>825</v>
      </c>
    </row>
    <row r="284" spans="1:7">
      <c r="A284" s="10">
        <v>2</v>
      </c>
      <c r="B284" s="7"/>
      <c r="C284" s="7"/>
      <c r="D284" s="10" t="s">
        <v>135</v>
      </c>
      <c r="E284" s="13"/>
      <c r="F284" s="13"/>
      <c r="G284" s="13"/>
    </row>
    <row r="285" spans="1:7" ht="29.25">
      <c r="A285" s="86" t="s">
        <v>14</v>
      </c>
      <c r="B285" s="82" t="s">
        <v>86</v>
      </c>
      <c r="C285" s="82" t="s">
        <v>136</v>
      </c>
      <c r="D285" s="83" t="s">
        <v>137</v>
      </c>
      <c r="E285" s="82" t="s">
        <v>138</v>
      </c>
      <c r="F285" s="84">
        <v>1</v>
      </c>
      <c r="G285" s="143" t="s">
        <v>826</v>
      </c>
    </row>
    <row r="286" spans="1:7">
      <c r="A286" s="86" t="s">
        <v>41</v>
      </c>
      <c r="B286" s="82" t="s">
        <v>86</v>
      </c>
      <c r="C286" s="82" t="s">
        <v>139</v>
      </c>
      <c r="D286" s="86" t="s">
        <v>140</v>
      </c>
      <c r="E286" s="82" t="s">
        <v>27</v>
      </c>
      <c r="F286" s="84">
        <f>20*8</f>
        <v>160</v>
      </c>
      <c r="G286" s="255" t="s">
        <v>1225</v>
      </c>
    </row>
    <row r="287" spans="1:7">
      <c r="A287" s="86" t="s">
        <v>44</v>
      </c>
      <c r="B287" s="256" t="s">
        <v>86</v>
      </c>
      <c r="C287" s="82" t="s">
        <v>594</v>
      </c>
      <c r="D287" s="86" t="s">
        <v>595</v>
      </c>
      <c r="E287" s="256" t="s">
        <v>27</v>
      </c>
      <c r="F287" s="84">
        <f>(3*5)</f>
        <v>15</v>
      </c>
      <c r="G287" s="255" t="s">
        <v>1226</v>
      </c>
    </row>
    <row r="288" spans="1:7" ht="30" customHeight="1">
      <c r="A288" s="86" t="s">
        <v>49</v>
      </c>
      <c r="B288" s="82" t="s">
        <v>86</v>
      </c>
      <c r="C288" s="82" t="s">
        <v>141</v>
      </c>
      <c r="D288" s="86" t="s">
        <v>142</v>
      </c>
      <c r="E288" s="82" t="s">
        <v>25</v>
      </c>
      <c r="F288" s="84">
        <f>ROUND(((3+3+3+3+6.05+6.05+2.5+4.7+1.9+1.65+2.5+1.9+1.5+2.5+6.6)*0.2*0.3),2)</f>
        <v>2.99</v>
      </c>
      <c r="G288" s="148" t="s">
        <v>827</v>
      </c>
    </row>
    <row r="289" spans="1:7" ht="30" customHeight="1">
      <c r="A289" s="86" t="s">
        <v>145</v>
      </c>
      <c r="B289" s="82" t="s">
        <v>86</v>
      </c>
      <c r="C289" s="82" t="s">
        <v>143</v>
      </c>
      <c r="D289" s="86" t="s">
        <v>144</v>
      </c>
      <c r="E289" s="82" t="s">
        <v>25</v>
      </c>
      <c r="F289" s="84">
        <f>F288</f>
        <v>2.99</v>
      </c>
      <c r="G289" s="148" t="s">
        <v>827</v>
      </c>
    </row>
    <row r="290" spans="1:7" ht="30" customHeight="1">
      <c r="A290" s="86" t="s">
        <v>149</v>
      </c>
      <c r="B290" s="82" t="s">
        <v>86</v>
      </c>
      <c r="C290" s="82" t="s">
        <v>146</v>
      </c>
      <c r="D290" s="86" t="s">
        <v>147</v>
      </c>
      <c r="E290" s="82" t="s">
        <v>148</v>
      </c>
      <c r="F290" s="84">
        <f>((3+3+3+3+6.05+6.05+2.5+4.7+1.9+1.65+2.5+1.9+1.5+2.5+6.6)*0.2*0.3)*80</f>
        <v>239.28</v>
      </c>
      <c r="G290" s="144" t="s">
        <v>828</v>
      </c>
    </row>
    <row r="291" spans="1:7" ht="30" customHeight="1">
      <c r="A291" s="86" t="s">
        <v>152</v>
      </c>
      <c r="B291" s="82" t="s">
        <v>86</v>
      </c>
      <c r="C291" s="82" t="s">
        <v>150</v>
      </c>
      <c r="D291" s="86" t="s">
        <v>151</v>
      </c>
      <c r="E291" s="82" t="s">
        <v>148</v>
      </c>
      <c r="F291" s="84">
        <f>((3+3+3+3+6.05+6.05+2.5+4.7+1.9+1.65+2.5+1.9+1.5+2.5+6.6)*0.2*0.3)*14</f>
        <v>41.874000000000002</v>
      </c>
      <c r="G291" s="144" t="s">
        <v>829</v>
      </c>
    </row>
    <row r="292" spans="1:7">
      <c r="A292" s="86" t="s">
        <v>154</v>
      </c>
      <c r="B292" s="82" t="s">
        <v>86</v>
      </c>
      <c r="C292" s="82" t="s">
        <v>141</v>
      </c>
      <c r="D292" s="86" t="s">
        <v>153</v>
      </c>
      <c r="E292" s="82" t="s">
        <v>25</v>
      </c>
      <c r="F292" s="84">
        <f>ROUND((0.5*0.5*0.4*12)+(0.5*1.4*0.4*4),2)</f>
        <v>2.3199999999999998</v>
      </c>
      <c r="G292" s="143" t="s">
        <v>830</v>
      </c>
    </row>
    <row r="293" spans="1:7" ht="29.25">
      <c r="A293" s="86" t="s">
        <v>156</v>
      </c>
      <c r="B293" s="82" t="s">
        <v>86</v>
      </c>
      <c r="C293" s="82" t="s">
        <v>143</v>
      </c>
      <c r="D293" s="83" t="s">
        <v>155</v>
      </c>
      <c r="E293" s="82" t="s">
        <v>25</v>
      </c>
      <c r="F293" s="84">
        <f>F292</f>
        <v>2.3199999999999998</v>
      </c>
      <c r="G293" s="143" t="s">
        <v>830</v>
      </c>
    </row>
    <row r="294" spans="1:7">
      <c r="A294" s="86" t="s">
        <v>158</v>
      </c>
      <c r="B294" s="82" t="s">
        <v>86</v>
      </c>
      <c r="C294" s="82" t="s">
        <v>146</v>
      </c>
      <c r="D294" s="86" t="s">
        <v>157</v>
      </c>
      <c r="E294" s="82" t="s">
        <v>148</v>
      </c>
      <c r="F294" s="84">
        <f>F292*80</f>
        <v>185.6</v>
      </c>
      <c r="G294" s="143" t="s">
        <v>831</v>
      </c>
    </row>
    <row r="295" spans="1:7">
      <c r="A295" s="86" t="s">
        <v>160</v>
      </c>
      <c r="B295" s="82" t="s">
        <v>86</v>
      </c>
      <c r="C295" s="82" t="s">
        <v>150</v>
      </c>
      <c r="D295" s="86" t="s">
        <v>159</v>
      </c>
      <c r="E295" s="82" t="s">
        <v>148</v>
      </c>
      <c r="F295" s="84">
        <f>F292*14</f>
        <v>32.479999999999997</v>
      </c>
      <c r="G295" s="143" t="s">
        <v>832</v>
      </c>
    </row>
    <row r="296" spans="1:7">
      <c r="A296" s="86" t="s">
        <v>1163</v>
      </c>
      <c r="B296" s="82" t="s">
        <v>86</v>
      </c>
      <c r="C296" s="82" t="s">
        <v>161</v>
      </c>
      <c r="D296" s="86" t="s">
        <v>162</v>
      </c>
      <c r="E296" s="82" t="s">
        <v>25</v>
      </c>
      <c r="F296" s="84">
        <f>ROUND(((49.85*0.2)+(0.5*0.5*12))*0.03,2)</f>
        <v>0.39</v>
      </c>
      <c r="G296" s="143" t="s">
        <v>833</v>
      </c>
    </row>
    <row r="297" spans="1:7">
      <c r="A297" s="10">
        <v>3</v>
      </c>
      <c r="B297" s="7"/>
      <c r="C297" s="7"/>
      <c r="D297" s="10" t="s">
        <v>163</v>
      </c>
      <c r="E297" s="13"/>
      <c r="F297" s="13"/>
      <c r="G297" s="13"/>
    </row>
    <row r="298" spans="1:7" ht="43.5">
      <c r="A298" s="86" t="s">
        <v>15</v>
      </c>
      <c r="B298" s="82" t="s">
        <v>86</v>
      </c>
      <c r="C298" s="82" t="s">
        <v>141</v>
      </c>
      <c r="D298" s="83" t="s">
        <v>164</v>
      </c>
      <c r="E298" s="82" t="s">
        <v>25</v>
      </c>
      <c r="F298" s="84">
        <f>(0.15*0.25*2.5*3)+(0.15*0.25*3.12*2)+(0.15*0.25*4*3.7)+(0.15*0.25*3*4.26)+(0.15*0.25*1*9.4)+(0.15*0.25*2*8.64)+(0.15*0.25*1*7.75)</f>
        <v>2.8406250000000002</v>
      </c>
      <c r="G298" s="144" t="s">
        <v>834</v>
      </c>
    </row>
    <row r="299" spans="1:7" ht="45" customHeight="1">
      <c r="A299" s="86" t="s">
        <v>47</v>
      </c>
      <c r="B299" s="82" t="s">
        <v>86</v>
      </c>
      <c r="C299" s="82" t="s">
        <v>146</v>
      </c>
      <c r="D299" s="25" t="s">
        <v>165</v>
      </c>
      <c r="E299" s="82" t="s">
        <v>148</v>
      </c>
      <c r="F299" s="84">
        <f>80*F298</f>
        <v>227.25</v>
      </c>
      <c r="G299" s="144" t="s">
        <v>835</v>
      </c>
    </row>
    <row r="300" spans="1:7" ht="45" customHeight="1">
      <c r="A300" s="86" t="s">
        <v>166</v>
      </c>
      <c r="B300" s="82" t="s">
        <v>86</v>
      </c>
      <c r="C300" s="82" t="s">
        <v>150</v>
      </c>
      <c r="D300" s="25" t="s">
        <v>167</v>
      </c>
      <c r="E300" s="82" t="s">
        <v>148</v>
      </c>
      <c r="F300" s="84">
        <f>14*F298</f>
        <v>39.768750000000004</v>
      </c>
      <c r="G300" s="144" t="s">
        <v>836</v>
      </c>
    </row>
    <row r="301" spans="1:7" ht="29.25">
      <c r="A301" s="86" t="s">
        <v>168</v>
      </c>
      <c r="B301" s="82" t="s">
        <v>86</v>
      </c>
      <c r="C301" s="82" t="s">
        <v>141</v>
      </c>
      <c r="D301" s="83" t="s">
        <v>169</v>
      </c>
      <c r="E301" s="82" t="s">
        <v>25</v>
      </c>
      <c r="F301" s="84">
        <f>(6.05+3.55+6.05+1.9+6.6+4.7+2.5+2.23+2.5+1.5+12+12)*0.15*0.35</f>
        <v>3.2329499999999998</v>
      </c>
      <c r="G301" s="144" t="s">
        <v>837</v>
      </c>
    </row>
    <row r="302" spans="1:7" ht="29.25">
      <c r="A302" s="86" t="s">
        <v>170</v>
      </c>
      <c r="B302" s="82" t="s">
        <v>86</v>
      </c>
      <c r="C302" s="82" t="s">
        <v>146</v>
      </c>
      <c r="D302" s="25" t="s">
        <v>171</v>
      </c>
      <c r="E302" s="82" t="s">
        <v>148</v>
      </c>
      <c r="F302" s="84">
        <f>80*F301</f>
        <v>258.63599999999997</v>
      </c>
      <c r="G302" s="146" t="s">
        <v>838</v>
      </c>
    </row>
    <row r="303" spans="1:7" ht="29.25">
      <c r="A303" s="86" t="s">
        <v>172</v>
      </c>
      <c r="B303" s="82" t="s">
        <v>86</v>
      </c>
      <c r="C303" s="82" t="s">
        <v>150</v>
      </c>
      <c r="D303" s="25" t="s">
        <v>173</v>
      </c>
      <c r="E303" s="82" t="s">
        <v>148</v>
      </c>
      <c r="F303" s="84">
        <f>14*F301</f>
        <v>45.261299999999999</v>
      </c>
      <c r="G303" s="144" t="s">
        <v>839</v>
      </c>
    </row>
    <row r="304" spans="1:7">
      <c r="A304" s="86" t="s">
        <v>174</v>
      </c>
      <c r="B304" s="82" t="s">
        <v>86</v>
      </c>
      <c r="C304" s="82" t="s">
        <v>175</v>
      </c>
      <c r="D304" s="86" t="s">
        <v>176</v>
      </c>
      <c r="E304" s="82" t="s">
        <v>25</v>
      </c>
      <c r="F304" s="84">
        <f>((2.39*4)+((1.724+3.5+1.6+2.2)*2)+(0.8*4)+0.9)*0.15*0.15</f>
        <v>0.7134299999999999</v>
      </c>
      <c r="G304" s="144" t="s">
        <v>840</v>
      </c>
    </row>
    <row r="305" spans="1:7" ht="29.25">
      <c r="A305" s="86" t="s">
        <v>177</v>
      </c>
      <c r="B305" s="82" t="s">
        <v>86</v>
      </c>
      <c r="C305" s="82" t="s">
        <v>178</v>
      </c>
      <c r="D305" s="28" t="s">
        <v>179</v>
      </c>
      <c r="E305" s="82" t="s">
        <v>23</v>
      </c>
      <c r="F305" s="84">
        <f>ROUND((3*3)+(4.55*3)+(36.5*1.077),2)</f>
        <v>61.96</v>
      </c>
      <c r="G305" s="143" t="s">
        <v>841</v>
      </c>
    </row>
    <row r="306" spans="1:7" ht="29.25">
      <c r="A306" s="86" t="s">
        <v>180</v>
      </c>
      <c r="B306" s="82" t="s">
        <v>86</v>
      </c>
      <c r="C306" s="82" t="s">
        <v>181</v>
      </c>
      <c r="D306" s="28" t="s">
        <v>182</v>
      </c>
      <c r="E306" s="82" t="s">
        <v>23</v>
      </c>
      <c r="F306" s="84">
        <f>(4.55*3)</f>
        <v>13.649999999999999</v>
      </c>
      <c r="G306" s="145" t="s">
        <v>842</v>
      </c>
    </row>
    <row r="307" spans="1:7" ht="30" customHeight="1">
      <c r="A307" s="86" t="s">
        <v>183</v>
      </c>
      <c r="B307" s="82" t="s">
        <v>86</v>
      </c>
      <c r="C307" s="82" t="s">
        <v>184</v>
      </c>
      <c r="D307" s="86" t="s">
        <v>185</v>
      </c>
      <c r="E307" s="82" t="s">
        <v>25</v>
      </c>
      <c r="F307" s="84">
        <f>((1.724*1.9)+(3.82*1.92)+(2.6*1.5)+(2.65*1.92)+(2.23*2.5)+(2.72*2.72))*0.05</f>
        <v>1.6285699999999999</v>
      </c>
      <c r="G307" s="151" t="s">
        <v>994</v>
      </c>
    </row>
    <row r="308" spans="1:7">
      <c r="A308" s="86" t="s">
        <v>186</v>
      </c>
      <c r="B308" s="82" t="s">
        <v>86</v>
      </c>
      <c r="C308" s="82" t="s">
        <v>187</v>
      </c>
      <c r="D308" s="86" t="s">
        <v>188</v>
      </c>
      <c r="E308" s="82" t="s">
        <v>23</v>
      </c>
      <c r="F308" s="84">
        <f>(0.25*2.5*10)</f>
        <v>6.25</v>
      </c>
      <c r="G308" s="143" t="s">
        <v>843</v>
      </c>
    </row>
    <row r="309" spans="1:7">
      <c r="A309" s="86" t="s">
        <v>189</v>
      </c>
      <c r="B309" s="82" t="s">
        <v>86</v>
      </c>
      <c r="C309" s="82" t="s">
        <v>190</v>
      </c>
      <c r="D309" s="86" t="s">
        <v>191</v>
      </c>
      <c r="E309" s="82" t="s">
        <v>25</v>
      </c>
      <c r="F309" s="84">
        <f>F298+F301+F307</f>
        <v>7.7021449999999998</v>
      </c>
      <c r="G309" s="143" t="s">
        <v>844</v>
      </c>
    </row>
    <row r="310" spans="1:7">
      <c r="A310" s="10">
        <v>4</v>
      </c>
      <c r="B310" s="7"/>
      <c r="C310" s="7"/>
      <c r="D310" s="10" t="s">
        <v>192</v>
      </c>
      <c r="E310" s="13"/>
      <c r="F310" s="13"/>
      <c r="G310" s="13"/>
    </row>
    <row r="311" spans="1:7">
      <c r="A311" s="86" t="s">
        <v>16</v>
      </c>
      <c r="B311" s="82" t="s">
        <v>86</v>
      </c>
      <c r="C311" s="82" t="s">
        <v>193</v>
      </c>
      <c r="D311" s="25" t="s">
        <v>194</v>
      </c>
      <c r="E311" s="82" t="s">
        <v>25</v>
      </c>
      <c r="F311" s="84">
        <f>((6.05+3.55+6.05+1.9+6.6+4.7+2.5+2.23+2.5+1.5+12)*0.2*0.15)</f>
        <v>1.4874000000000001</v>
      </c>
      <c r="G311" s="143" t="s">
        <v>845</v>
      </c>
    </row>
    <row r="312" spans="1:7">
      <c r="A312" s="86" t="s">
        <v>17</v>
      </c>
      <c r="B312" s="82" t="s">
        <v>86</v>
      </c>
      <c r="C312" s="82" t="s">
        <v>195</v>
      </c>
      <c r="D312" s="25" t="s">
        <v>196</v>
      </c>
      <c r="E312" s="82" t="s">
        <v>23</v>
      </c>
      <c r="F312" s="84">
        <f>ROUND(F335+(4*4.17)+(5.55*1.67/2)+(5.55*2.1)+(6.6*2.1)+(4.15*2.1)+(4.15*1.25/2)+(5.55*2.1)+(5.55*1.67/2)+(3.25*1.9)+(3.35*2.5)+(2.88*1.5)+(2.68*2.5)+((3.55+2.88)*2.23/2)-(1.72*1.82)-(3.5*1.1)-(2.2*1.3)-(1.6*0.6)-(2.35*3.2*2)-(0.9*2.1*1)-(0.8*2.1*4)-F313,2)</f>
        <v>148.04</v>
      </c>
      <c r="G312" s="257" t="s">
        <v>1230</v>
      </c>
    </row>
    <row r="313" spans="1:7">
      <c r="A313" s="86" t="s">
        <v>93</v>
      </c>
      <c r="B313" s="256" t="s">
        <v>86</v>
      </c>
      <c r="C313" s="82" t="s">
        <v>1229</v>
      </c>
      <c r="D313" s="25" t="s">
        <v>1228</v>
      </c>
      <c r="E313" s="256" t="s">
        <v>23</v>
      </c>
      <c r="F313" s="84">
        <f>(6.6*2.1)</f>
        <v>13.86</v>
      </c>
      <c r="G313" s="257" t="s">
        <v>1231</v>
      </c>
    </row>
    <row r="314" spans="1:7" ht="29.25">
      <c r="A314" s="86" t="s">
        <v>94</v>
      </c>
      <c r="B314" s="82" t="s">
        <v>86</v>
      </c>
      <c r="C314" s="82" t="s">
        <v>181</v>
      </c>
      <c r="D314" s="28" t="s">
        <v>515</v>
      </c>
      <c r="E314" s="82" t="s">
        <v>23</v>
      </c>
      <c r="F314" s="84">
        <f>(6.6*2.6)</f>
        <v>17.16</v>
      </c>
      <c r="G314" s="143" t="s">
        <v>846</v>
      </c>
    </row>
    <row r="315" spans="1:7" ht="29.25">
      <c r="A315" s="86" t="s">
        <v>599</v>
      </c>
      <c r="B315" s="82" t="s">
        <v>86</v>
      </c>
      <c r="C315" s="82" t="s">
        <v>198</v>
      </c>
      <c r="D315" s="28" t="s">
        <v>199</v>
      </c>
      <c r="E315" s="82" t="s">
        <v>23</v>
      </c>
      <c r="F315" s="84">
        <f>((6.05+3.55+6.05+1.9+6.6+4.7+2.5+2.23+2.5+1.5+12)*0.4)</f>
        <v>19.832000000000001</v>
      </c>
      <c r="G315" s="143" t="s">
        <v>847</v>
      </c>
    </row>
    <row r="316" spans="1:7">
      <c r="A316" s="10">
        <v>5</v>
      </c>
      <c r="B316" s="7"/>
      <c r="C316" s="13"/>
      <c r="D316" s="10" t="s">
        <v>200</v>
      </c>
      <c r="E316" s="13"/>
      <c r="F316" s="13"/>
      <c r="G316" s="13"/>
    </row>
    <row r="317" spans="1:7" ht="45" customHeight="1">
      <c r="A317" s="86" t="s">
        <v>18</v>
      </c>
      <c r="B317" s="82" t="s">
        <v>86</v>
      </c>
      <c r="C317" s="82" t="s">
        <v>516</v>
      </c>
      <c r="D317" s="28" t="s">
        <v>1154</v>
      </c>
      <c r="E317" s="82" t="s">
        <v>148</v>
      </c>
      <c r="F317" s="84">
        <f>78.03*14</f>
        <v>1092.42</v>
      </c>
      <c r="G317" s="177" t="s">
        <v>1061</v>
      </c>
    </row>
    <row r="318" spans="1:7" ht="29.25">
      <c r="A318" s="86" t="s">
        <v>52</v>
      </c>
      <c r="B318" s="82" t="s">
        <v>86</v>
      </c>
      <c r="C318" s="82" t="s">
        <v>517</v>
      </c>
      <c r="D318" s="208" t="s">
        <v>518</v>
      </c>
      <c r="E318" s="82" t="s">
        <v>148</v>
      </c>
      <c r="F318" s="84">
        <f>(6.9*9.55)</f>
        <v>65.89500000000001</v>
      </c>
      <c r="G318" s="143" t="s">
        <v>848</v>
      </c>
    </row>
    <row r="319" spans="1:7">
      <c r="A319" s="86" t="s">
        <v>54</v>
      </c>
      <c r="B319" s="82" t="s">
        <v>86</v>
      </c>
      <c r="C319" s="82" t="s">
        <v>203</v>
      </c>
      <c r="D319" s="25" t="s">
        <v>204</v>
      </c>
      <c r="E319" s="82" t="s">
        <v>23</v>
      </c>
      <c r="F319" s="84">
        <f>((73.39+31.93)*1.077)</f>
        <v>113.42963999999999</v>
      </c>
      <c r="G319" s="143" t="s">
        <v>849</v>
      </c>
    </row>
    <row r="320" spans="1:7">
      <c r="A320" s="86" t="s">
        <v>55</v>
      </c>
      <c r="B320" s="82" t="s">
        <v>86</v>
      </c>
      <c r="C320" s="82" t="s">
        <v>205</v>
      </c>
      <c r="D320" s="25" t="s">
        <v>206</v>
      </c>
      <c r="E320" s="82" t="s">
        <v>27</v>
      </c>
      <c r="F320" s="84">
        <v>2.75</v>
      </c>
      <c r="G320" s="144" t="s">
        <v>850</v>
      </c>
    </row>
    <row r="321" spans="1:7" ht="29.25">
      <c r="A321" s="86" t="s">
        <v>209</v>
      </c>
      <c r="B321" s="82" t="s">
        <v>86</v>
      </c>
      <c r="C321" s="82" t="s">
        <v>519</v>
      </c>
      <c r="D321" s="28" t="s">
        <v>520</v>
      </c>
      <c r="E321" s="82" t="s">
        <v>23</v>
      </c>
      <c r="F321" s="84">
        <f>(2.1*6.6)</f>
        <v>13.86</v>
      </c>
      <c r="G321" s="144" t="s">
        <v>851</v>
      </c>
    </row>
    <row r="322" spans="1:7">
      <c r="A322" s="86" t="s">
        <v>211</v>
      </c>
      <c r="B322" s="82" t="s">
        <v>86</v>
      </c>
      <c r="C322" s="82" t="s">
        <v>207</v>
      </c>
      <c r="D322" s="86" t="s">
        <v>208</v>
      </c>
      <c r="E322" s="82" t="s">
        <v>27</v>
      </c>
      <c r="F322" s="84">
        <f>(6.6+6.6)</f>
        <v>13.2</v>
      </c>
      <c r="G322" s="143" t="s">
        <v>852</v>
      </c>
    </row>
    <row r="323" spans="1:7">
      <c r="A323" s="86" t="s">
        <v>521</v>
      </c>
      <c r="B323" s="82" t="s">
        <v>86</v>
      </c>
      <c r="C323" s="82" t="s">
        <v>207</v>
      </c>
      <c r="D323" s="86" t="s">
        <v>210</v>
      </c>
      <c r="E323" s="82" t="s">
        <v>27</v>
      </c>
      <c r="F323" s="84">
        <f>(4.5+4.5+3+3+6.6)</f>
        <v>21.6</v>
      </c>
      <c r="G323" s="143" t="s">
        <v>853</v>
      </c>
    </row>
    <row r="324" spans="1:7">
      <c r="A324" s="86" t="s">
        <v>522</v>
      </c>
      <c r="B324" s="82" t="s">
        <v>86</v>
      </c>
      <c r="C324" s="82" t="s">
        <v>207</v>
      </c>
      <c r="D324" s="81" t="s">
        <v>212</v>
      </c>
      <c r="E324" s="82" t="s">
        <v>27</v>
      </c>
      <c r="F324" s="84">
        <f>(2.1+2.6)</f>
        <v>4.7</v>
      </c>
      <c r="G324" s="143" t="s">
        <v>854</v>
      </c>
    </row>
    <row r="325" spans="1:7">
      <c r="A325" s="10">
        <v>6</v>
      </c>
      <c r="B325" s="10"/>
      <c r="C325" s="10"/>
      <c r="D325" s="10" t="s">
        <v>213</v>
      </c>
      <c r="E325" s="10"/>
      <c r="F325" s="10"/>
      <c r="G325" s="10"/>
    </row>
    <row r="326" spans="1:7">
      <c r="A326" s="86" t="s">
        <v>62</v>
      </c>
      <c r="B326" s="82" t="s">
        <v>86</v>
      </c>
      <c r="C326" s="82" t="s">
        <v>523</v>
      </c>
      <c r="D326" s="86" t="s">
        <v>524</v>
      </c>
      <c r="E326" s="82" t="s">
        <v>23</v>
      </c>
      <c r="F326" s="84">
        <f>ROUND((87.16-9.13),2)</f>
        <v>78.03</v>
      </c>
      <c r="G326" s="135" t="s">
        <v>855</v>
      </c>
    </row>
    <row r="327" spans="1:7">
      <c r="A327" s="10">
        <v>7</v>
      </c>
      <c r="B327" s="13"/>
      <c r="C327" s="13"/>
      <c r="D327" s="10" t="s">
        <v>216</v>
      </c>
      <c r="E327" s="13"/>
      <c r="F327" s="13"/>
      <c r="G327" s="13"/>
    </row>
    <row r="328" spans="1:7">
      <c r="A328" s="86" t="s">
        <v>68</v>
      </c>
      <c r="B328" s="82" t="s">
        <v>86</v>
      </c>
      <c r="C328" s="82" t="s">
        <v>217</v>
      </c>
      <c r="D328" s="86" t="s">
        <v>525</v>
      </c>
      <c r="E328" s="82" t="s">
        <v>23</v>
      </c>
      <c r="F328" s="84">
        <f>(F312*2)+F315+F305</f>
        <v>377.87199999999996</v>
      </c>
      <c r="G328" s="143" t="s">
        <v>856</v>
      </c>
    </row>
    <row r="329" spans="1:7">
      <c r="A329" s="86" t="s">
        <v>69</v>
      </c>
      <c r="B329" s="82" t="s">
        <v>86</v>
      </c>
      <c r="C329" s="82" t="s">
        <v>219</v>
      </c>
      <c r="D329" s="25" t="s">
        <v>526</v>
      </c>
      <c r="E329" s="82" t="s">
        <v>23</v>
      </c>
      <c r="F329" s="84">
        <f>F328</f>
        <v>377.87199999999996</v>
      </c>
      <c r="G329" s="143" t="s">
        <v>856</v>
      </c>
    </row>
    <row r="330" spans="1:7" ht="29.25">
      <c r="A330" s="86" t="s">
        <v>70</v>
      </c>
      <c r="B330" s="82" t="s">
        <v>86</v>
      </c>
      <c r="C330" s="82" t="s">
        <v>527</v>
      </c>
      <c r="D330" s="28" t="s">
        <v>528</v>
      </c>
      <c r="E330" s="82" t="s">
        <v>23</v>
      </c>
      <c r="F330" s="84">
        <f>((1.9+1.724+1.9+1.724)*2)-(0.9*2.1)</f>
        <v>12.605999999999998</v>
      </c>
      <c r="G330" s="143" t="s">
        <v>857</v>
      </c>
    </row>
    <row r="331" spans="1:7" ht="29.25">
      <c r="A331" s="86" t="s">
        <v>223</v>
      </c>
      <c r="B331" s="82" t="s">
        <v>86</v>
      </c>
      <c r="C331" s="82" t="s">
        <v>527</v>
      </c>
      <c r="D331" s="28" t="s">
        <v>529</v>
      </c>
      <c r="E331" s="82" t="s">
        <v>23</v>
      </c>
      <c r="F331" s="84">
        <f>((3.82+1.92+1.92+3.82)*2)-(0.8*2.1)</f>
        <v>21.28</v>
      </c>
      <c r="G331" s="143" t="s">
        <v>858</v>
      </c>
    </row>
    <row r="332" spans="1:7" ht="29.25">
      <c r="A332" s="86" t="s">
        <v>225</v>
      </c>
      <c r="B332" s="82" t="s">
        <v>86</v>
      </c>
      <c r="C332" s="82" t="s">
        <v>527</v>
      </c>
      <c r="D332" s="28" t="s">
        <v>530</v>
      </c>
      <c r="E332" s="82" t="s">
        <v>23</v>
      </c>
      <c r="F332" s="84">
        <f>((2.6+4.15+1.92+2.65+1.5)*2)-(0.8*2.1)</f>
        <v>23.96</v>
      </c>
      <c r="G332" s="145" t="s">
        <v>859</v>
      </c>
    </row>
    <row r="333" spans="1:7" ht="29.25">
      <c r="A333" s="86" t="s">
        <v>227</v>
      </c>
      <c r="B333" s="82" t="s">
        <v>86</v>
      </c>
      <c r="C333" s="82" t="s">
        <v>527</v>
      </c>
      <c r="D333" s="28" t="s">
        <v>531</v>
      </c>
      <c r="E333" s="82" t="s">
        <v>23</v>
      </c>
      <c r="F333" s="84">
        <f>((2.23+2.23+2.5+2.5)*2)-(0.8*2.1)</f>
        <v>17.240000000000002</v>
      </c>
      <c r="G333" s="145" t="s">
        <v>860</v>
      </c>
    </row>
    <row r="334" spans="1:7" ht="29.25">
      <c r="A334" s="86" t="s">
        <v>229</v>
      </c>
      <c r="B334" s="82" t="s">
        <v>86</v>
      </c>
      <c r="C334" s="82" t="s">
        <v>532</v>
      </c>
      <c r="D334" s="28" t="s">
        <v>533</v>
      </c>
      <c r="E334" s="82" t="s">
        <v>23</v>
      </c>
      <c r="F334" s="84">
        <f>(3.55*2.5)+(2.5*2.5)</f>
        <v>15.125</v>
      </c>
      <c r="G334" s="145" t="s">
        <v>861</v>
      </c>
    </row>
    <row r="335" spans="1:7">
      <c r="A335" s="86" t="s">
        <v>534</v>
      </c>
      <c r="B335" s="82" t="s">
        <v>86</v>
      </c>
      <c r="C335" s="82" t="s">
        <v>535</v>
      </c>
      <c r="D335" s="25" t="s">
        <v>536</v>
      </c>
      <c r="E335" s="82" t="s">
        <v>23</v>
      </c>
      <c r="F335" s="84">
        <f>(((9.8+8.75)*3/2)*2)+(((8.75+8)*3/2)*2)-(2.35*3.2*2)-(0.8*2.1)</f>
        <v>89.179999999999993</v>
      </c>
      <c r="G335" s="145" t="s">
        <v>862</v>
      </c>
    </row>
    <row r="336" spans="1:7" ht="29.25">
      <c r="A336" s="86" t="s">
        <v>537</v>
      </c>
      <c r="B336" s="82" t="s">
        <v>86</v>
      </c>
      <c r="C336" s="82" t="s">
        <v>230</v>
      </c>
      <c r="D336" s="28" t="s">
        <v>538</v>
      </c>
      <c r="E336" s="82" t="s">
        <v>23</v>
      </c>
      <c r="F336" s="84">
        <f>F335</f>
        <v>89.179999999999993</v>
      </c>
      <c r="G336" s="145" t="s">
        <v>862</v>
      </c>
    </row>
    <row r="337" spans="1:7">
      <c r="A337" s="10">
        <v>8</v>
      </c>
      <c r="B337" s="13"/>
      <c r="C337" s="13"/>
      <c r="D337" s="10" t="s">
        <v>233</v>
      </c>
      <c r="E337" s="13"/>
      <c r="F337" s="20"/>
      <c r="G337" s="20"/>
    </row>
    <row r="338" spans="1:7" ht="43.5">
      <c r="A338" s="86" t="s">
        <v>73</v>
      </c>
      <c r="B338" s="82" t="s">
        <v>86</v>
      </c>
      <c r="C338" s="82" t="s">
        <v>539</v>
      </c>
      <c r="D338" s="28" t="s">
        <v>540</v>
      </c>
      <c r="E338" s="82" t="s">
        <v>23</v>
      </c>
      <c r="F338" s="84">
        <f>(1.724*1.9)</f>
        <v>3.2755999999999998</v>
      </c>
      <c r="G338" s="144" t="s">
        <v>863</v>
      </c>
    </row>
    <row r="339" spans="1:7" ht="43.5">
      <c r="A339" s="86" t="s">
        <v>75</v>
      </c>
      <c r="B339" s="82" t="s">
        <v>86</v>
      </c>
      <c r="C339" s="82" t="s">
        <v>539</v>
      </c>
      <c r="D339" s="28" t="s">
        <v>541</v>
      </c>
      <c r="E339" s="82" t="s">
        <v>23</v>
      </c>
      <c r="F339" s="84">
        <f>(3.82*1.92)</f>
        <v>7.3343999999999996</v>
      </c>
      <c r="G339" s="145" t="s">
        <v>864</v>
      </c>
    </row>
    <row r="340" spans="1:7" ht="43.5">
      <c r="A340" s="86" t="s">
        <v>78</v>
      </c>
      <c r="B340" s="82" t="s">
        <v>86</v>
      </c>
      <c r="C340" s="82" t="s">
        <v>539</v>
      </c>
      <c r="D340" s="28" t="s">
        <v>542</v>
      </c>
      <c r="E340" s="82" t="s">
        <v>23</v>
      </c>
      <c r="F340" s="84">
        <f>(2.6*1.5)+(2.65*1.92)</f>
        <v>8.9879999999999995</v>
      </c>
      <c r="G340" s="145" t="s">
        <v>865</v>
      </c>
    </row>
    <row r="341" spans="1:7" ht="43.5">
      <c r="A341" s="86" t="s">
        <v>109</v>
      </c>
      <c r="B341" s="82" t="s">
        <v>86</v>
      </c>
      <c r="C341" s="82" t="s">
        <v>539</v>
      </c>
      <c r="D341" s="28" t="s">
        <v>543</v>
      </c>
      <c r="E341" s="82" t="s">
        <v>23</v>
      </c>
      <c r="F341" s="84">
        <f>(2.23*2.5)</f>
        <v>5.5750000000000002</v>
      </c>
      <c r="G341" s="143" t="s">
        <v>866</v>
      </c>
    </row>
    <row r="342" spans="1:7" ht="43.5">
      <c r="A342" s="86" t="s">
        <v>112</v>
      </c>
      <c r="B342" s="82" t="s">
        <v>86</v>
      </c>
      <c r="C342" s="82" t="s">
        <v>539</v>
      </c>
      <c r="D342" s="28" t="s">
        <v>544</v>
      </c>
      <c r="E342" s="82" t="s">
        <v>23</v>
      </c>
      <c r="F342" s="84">
        <f>(2.72*2.72)</f>
        <v>7.3984000000000014</v>
      </c>
      <c r="G342" s="145" t="s">
        <v>867</v>
      </c>
    </row>
    <row r="343" spans="1:7" ht="43.5">
      <c r="A343" s="86" t="s">
        <v>113</v>
      </c>
      <c r="B343" s="82" t="s">
        <v>86</v>
      </c>
      <c r="C343" s="82" t="s">
        <v>545</v>
      </c>
      <c r="D343" s="83" t="s">
        <v>546</v>
      </c>
      <c r="E343" s="82" t="s">
        <v>27</v>
      </c>
      <c r="F343" s="84">
        <f>((1.724+1.9)*2)+((3.82+1.92)*2)+2.6+1.5+1.5+1.92+0.7+(2.65*2)+((2.23+2.5)*2)+((2.72+2.72)*2)-(0.8*4)-0.9</f>
        <v>48.488000000000007</v>
      </c>
      <c r="G343" s="144" t="s">
        <v>868</v>
      </c>
    </row>
    <row r="344" spans="1:7">
      <c r="A344" s="10">
        <v>9</v>
      </c>
      <c r="B344" s="13"/>
      <c r="C344" s="13"/>
      <c r="D344" s="10" t="s">
        <v>547</v>
      </c>
      <c r="E344" s="13"/>
      <c r="F344" s="13"/>
      <c r="G344" s="13"/>
    </row>
    <row r="345" spans="1:7" ht="29.25">
      <c r="A345" s="246" t="s">
        <v>81</v>
      </c>
      <c r="B345" s="82" t="s">
        <v>86</v>
      </c>
      <c r="C345" s="82" t="s">
        <v>63</v>
      </c>
      <c r="D345" s="83" t="s">
        <v>65</v>
      </c>
      <c r="E345" s="82" t="s">
        <v>23</v>
      </c>
      <c r="F345" s="84">
        <v>106.53</v>
      </c>
      <c r="G345" s="143" t="s">
        <v>869</v>
      </c>
    </row>
    <row r="346" spans="1:7">
      <c r="A346" s="10">
        <v>10</v>
      </c>
      <c r="B346" s="13"/>
      <c r="C346" s="13"/>
      <c r="D346" s="10" t="s">
        <v>250</v>
      </c>
      <c r="E346" s="13"/>
      <c r="F346" s="13"/>
      <c r="G346" s="13"/>
    </row>
    <row r="347" spans="1:7" ht="43.5">
      <c r="A347" s="86" t="s">
        <v>103</v>
      </c>
      <c r="B347" s="82" t="s">
        <v>86</v>
      </c>
      <c r="C347" s="82" t="s">
        <v>251</v>
      </c>
      <c r="D347" s="28" t="s">
        <v>252</v>
      </c>
      <c r="E347" s="82" t="s">
        <v>26</v>
      </c>
      <c r="F347" s="82">
        <v>1</v>
      </c>
      <c r="G347" s="147" t="s">
        <v>870</v>
      </c>
    </row>
    <row r="348" spans="1:7" ht="43.5">
      <c r="A348" s="86" t="s">
        <v>253</v>
      </c>
      <c r="B348" s="82" t="s">
        <v>86</v>
      </c>
      <c r="C348" s="82" t="s">
        <v>254</v>
      </c>
      <c r="D348" s="28" t="s">
        <v>255</v>
      </c>
      <c r="E348" s="82" t="s">
        <v>26</v>
      </c>
      <c r="F348" s="82">
        <v>4</v>
      </c>
      <c r="G348" s="143" t="s">
        <v>871</v>
      </c>
    </row>
    <row r="349" spans="1:7">
      <c r="A349" s="86" t="s">
        <v>256</v>
      </c>
      <c r="B349" s="82" t="s">
        <v>86</v>
      </c>
      <c r="C349" s="82" t="s">
        <v>548</v>
      </c>
      <c r="D349" s="91" t="s">
        <v>549</v>
      </c>
      <c r="E349" s="82" t="s">
        <v>26</v>
      </c>
      <c r="F349" s="82">
        <v>4</v>
      </c>
      <c r="G349" s="143" t="s">
        <v>872</v>
      </c>
    </row>
    <row r="350" spans="1:7">
      <c r="A350" s="86" t="s">
        <v>259</v>
      </c>
      <c r="B350" s="82" t="s">
        <v>86</v>
      </c>
      <c r="C350" s="82" t="s">
        <v>550</v>
      </c>
      <c r="D350" s="91" t="s">
        <v>551</v>
      </c>
      <c r="E350" s="82" t="s">
        <v>23</v>
      </c>
      <c r="F350" s="84">
        <f>(1.72*1.82/2)+(3.5*1.1/2)+(2.2*1.3/2)+(1.6*0.6/2)+(2.35*3.2)</f>
        <v>12.920200000000001</v>
      </c>
      <c r="G350" s="143" t="s">
        <v>873</v>
      </c>
    </row>
    <row r="351" spans="1:7">
      <c r="A351" s="86" t="s">
        <v>262</v>
      </c>
      <c r="B351" s="82" t="s">
        <v>86</v>
      </c>
      <c r="C351" s="82" t="s">
        <v>552</v>
      </c>
      <c r="D351" s="91" t="s">
        <v>553</v>
      </c>
      <c r="E351" s="82" t="s">
        <v>23</v>
      </c>
      <c r="F351" s="84">
        <f>F350</f>
        <v>12.920200000000001</v>
      </c>
      <c r="G351" s="143" t="s">
        <v>873</v>
      </c>
    </row>
    <row r="352" spans="1:7" ht="29.25">
      <c r="A352" s="86" t="s">
        <v>265</v>
      </c>
      <c r="B352" s="82" t="s">
        <v>86</v>
      </c>
      <c r="C352" s="149" t="s">
        <v>554</v>
      </c>
      <c r="D352" s="91" t="s">
        <v>555</v>
      </c>
      <c r="E352" s="82" t="s">
        <v>23</v>
      </c>
      <c r="F352" s="84">
        <f>(((9.65*3.1/2)+((3.45+3.1)*1.65/2)+((2.1+1.6)*1.85/2)+(1.6*3.85/2))*2)+((6.2+4.15)*3.95/2)+(6.2*1.7)-(1.1*2.5)-14</f>
        <v>67.958750000000009</v>
      </c>
      <c r="G352" s="144" t="s">
        <v>874</v>
      </c>
    </row>
    <row r="353" spans="1:7" ht="29.25">
      <c r="A353" s="86" t="s">
        <v>267</v>
      </c>
      <c r="B353" s="82" t="s">
        <v>86</v>
      </c>
      <c r="C353" s="149" t="s">
        <v>556</v>
      </c>
      <c r="D353" s="91" t="s">
        <v>557</v>
      </c>
      <c r="E353" s="82" t="s">
        <v>23</v>
      </c>
      <c r="F353" s="84">
        <f>F352</f>
        <v>67.958750000000009</v>
      </c>
      <c r="G353" s="144" t="s">
        <v>874</v>
      </c>
    </row>
    <row r="354" spans="1:7">
      <c r="A354" s="10">
        <v>11</v>
      </c>
      <c r="B354" s="13"/>
      <c r="C354" s="13"/>
      <c r="D354" s="7" t="s">
        <v>270</v>
      </c>
      <c r="E354" s="13"/>
      <c r="F354" s="13"/>
      <c r="G354" s="13"/>
    </row>
    <row r="355" spans="1:7">
      <c r="A355" s="86" t="s">
        <v>271</v>
      </c>
      <c r="B355" s="82" t="s">
        <v>86</v>
      </c>
      <c r="C355" s="54" t="s">
        <v>272</v>
      </c>
      <c r="D355" s="91" t="s">
        <v>273</v>
      </c>
      <c r="E355" s="82" t="s">
        <v>23</v>
      </c>
      <c r="F355" s="84">
        <f>F328-F330-F331-F332-F333-F334-F335</f>
        <v>198.48099999999999</v>
      </c>
      <c r="G355" s="143" t="s">
        <v>875</v>
      </c>
    </row>
    <row r="356" spans="1:7">
      <c r="A356" s="86" t="s">
        <v>274</v>
      </c>
      <c r="B356" s="82" t="s">
        <v>86</v>
      </c>
      <c r="C356" s="82" t="s">
        <v>275</v>
      </c>
      <c r="D356" s="81" t="s">
        <v>558</v>
      </c>
      <c r="E356" s="82" t="s">
        <v>23</v>
      </c>
      <c r="F356" s="84">
        <f>(3+3+(3*4.45)+(3*4.45)-(0.8*2.1))</f>
        <v>31.020000000000003</v>
      </c>
      <c r="G356" s="143" t="s">
        <v>876</v>
      </c>
    </row>
    <row r="357" spans="1:7">
      <c r="A357" s="86" t="s">
        <v>277</v>
      </c>
      <c r="B357" s="82" t="s">
        <v>86</v>
      </c>
      <c r="C357" s="54" t="s">
        <v>278</v>
      </c>
      <c r="D357" s="92" t="s">
        <v>279</v>
      </c>
      <c r="E357" s="82" t="s">
        <v>23</v>
      </c>
      <c r="F357" s="84">
        <f>F355-F356</f>
        <v>167.46099999999998</v>
      </c>
      <c r="G357" s="143" t="s">
        <v>877</v>
      </c>
    </row>
    <row r="358" spans="1:7">
      <c r="A358" s="86" t="s">
        <v>280</v>
      </c>
      <c r="B358" s="82" t="s">
        <v>86</v>
      </c>
      <c r="C358" s="82" t="s">
        <v>559</v>
      </c>
      <c r="D358" s="81" t="s">
        <v>560</v>
      </c>
      <c r="E358" s="82" t="s">
        <v>23</v>
      </c>
      <c r="F358" s="84">
        <f>(0.1*3.5)+0.1</f>
        <v>0.45000000000000007</v>
      </c>
      <c r="G358" s="143" t="s">
        <v>878</v>
      </c>
    </row>
    <row r="359" spans="1:7">
      <c r="A359" s="86" t="s">
        <v>561</v>
      </c>
      <c r="B359" s="82" t="s">
        <v>86</v>
      </c>
      <c r="C359" s="82" t="s">
        <v>281</v>
      </c>
      <c r="D359" s="81" t="s">
        <v>282</v>
      </c>
      <c r="E359" s="82" t="s">
        <v>23</v>
      </c>
      <c r="F359" s="84">
        <f>(0.9*2.1*2)+(0.8*2.1*8)</f>
        <v>17.220000000000002</v>
      </c>
      <c r="G359" s="143" t="s">
        <v>879</v>
      </c>
    </row>
    <row r="360" spans="1:7">
      <c r="A360" s="10">
        <v>12</v>
      </c>
      <c r="B360" s="13"/>
      <c r="C360" s="13"/>
      <c r="D360" s="7" t="s">
        <v>284</v>
      </c>
      <c r="E360" s="13"/>
      <c r="F360" s="13"/>
      <c r="G360" s="13"/>
    </row>
    <row r="361" spans="1:7">
      <c r="A361" s="86" t="s">
        <v>285</v>
      </c>
      <c r="B361" s="82" t="s">
        <v>86</v>
      </c>
      <c r="C361" s="82" t="s">
        <v>286</v>
      </c>
      <c r="D361" s="91" t="s">
        <v>287</v>
      </c>
      <c r="E361" s="82" t="s">
        <v>26</v>
      </c>
      <c r="F361" s="82">
        <v>1</v>
      </c>
      <c r="G361" s="143" t="s">
        <v>773</v>
      </c>
    </row>
    <row r="362" spans="1:7" ht="29.25">
      <c r="A362" s="86" t="s">
        <v>288</v>
      </c>
      <c r="B362" s="82" t="s">
        <v>86</v>
      </c>
      <c r="C362" s="82" t="s">
        <v>289</v>
      </c>
      <c r="D362" s="92" t="s">
        <v>290</v>
      </c>
      <c r="E362" s="82" t="s">
        <v>26</v>
      </c>
      <c r="F362" s="82">
        <v>1</v>
      </c>
      <c r="G362" s="143" t="s">
        <v>773</v>
      </c>
    </row>
    <row r="363" spans="1:7" ht="29.25">
      <c r="A363" s="86" t="s">
        <v>291</v>
      </c>
      <c r="B363" s="82" t="s">
        <v>86</v>
      </c>
      <c r="C363" s="82" t="s">
        <v>292</v>
      </c>
      <c r="D363" s="92" t="s">
        <v>293</v>
      </c>
      <c r="E363" s="82" t="s">
        <v>26</v>
      </c>
      <c r="F363" s="84">
        <v>3</v>
      </c>
      <c r="G363" s="143" t="s">
        <v>773</v>
      </c>
    </row>
    <row r="364" spans="1:7" ht="29.25">
      <c r="A364" s="86" t="s">
        <v>294</v>
      </c>
      <c r="B364" s="82" t="s">
        <v>86</v>
      </c>
      <c r="C364" s="82" t="s">
        <v>295</v>
      </c>
      <c r="D364" s="92" t="s">
        <v>562</v>
      </c>
      <c r="E364" s="82" t="s">
        <v>26</v>
      </c>
      <c r="F364" s="84">
        <v>4</v>
      </c>
      <c r="G364" s="143" t="s">
        <v>773</v>
      </c>
    </row>
    <row r="365" spans="1:7" ht="29.25">
      <c r="A365" s="86" t="s">
        <v>297</v>
      </c>
      <c r="B365" s="82" t="s">
        <v>86</v>
      </c>
      <c r="C365" s="82" t="s">
        <v>298</v>
      </c>
      <c r="D365" s="92" t="s">
        <v>677</v>
      </c>
      <c r="E365" s="82" t="s">
        <v>23</v>
      </c>
      <c r="F365" s="84">
        <f>(0.9*0.4*2)</f>
        <v>0.72000000000000008</v>
      </c>
      <c r="G365" s="143" t="s">
        <v>880</v>
      </c>
    </row>
    <row r="366" spans="1:7">
      <c r="A366" s="86" t="s">
        <v>299</v>
      </c>
      <c r="B366" s="82" t="s">
        <v>86</v>
      </c>
      <c r="C366" s="82" t="s">
        <v>300</v>
      </c>
      <c r="D366" s="91" t="s">
        <v>301</v>
      </c>
      <c r="E366" s="82" t="s">
        <v>26</v>
      </c>
      <c r="F366" s="84">
        <v>6</v>
      </c>
      <c r="G366" s="143" t="s">
        <v>881</v>
      </c>
    </row>
    <row r="367" spans="1:7">
      <c r="A367" s="86" t="s">
        <v>302</v>
      </c>
      <c r="B367" s="82" t="s">
        <v>86</v>
      </c>
      <c r="C367" s="82" t="s">
        <v>303</v>
      </c>
      <c r="D367" s="91" t="s">
        <v>304</v>
      </c>
      <c r="E367" s="82" t="s">
        <v>26</v>
      </c>
      <c r="F367" s="84">
        <v>4</v>
      </c>
      <c r="G367" s="143" t="s">
        <v>881</v>
      </c>
    </row>
    <row r="368" spans="1:7">
      <c r="A368" s="86" t="s">
        <v>305</v>
      </c>
      <c r="B368" s="82" t="s">
        <v>86</v>
      </c>
      <c r="C368" s="82" t="s">
        <v>306</v>
      </c>
      <c r="D368" s="91" t="s">
        <v>307</v>
      </c>
      <c r="E368" s="82" t="s">
        <v>23</v>
      </c>
      <c r="F368" s="84">
        <f>((2.2+1.7+1.2)*1)+(0.5*1)</f>
        <v>5.6000000000000005</v>
      </c>
      <c r="G368" s="143" t="s">
        <v>882</v>
      </c>
    </row>
    <row r="369" spans="1:7">
      <c r="A369" s="86" t="s">
        <v>308</v>
      </c>
      <c r="B369" s="82" t="s">
        <v>86</v>
      </c>
      <c r="C369" s="82" t="s">
        <v>309</v>
      </c>
      <c r="D369" s="91" t="s">
        <v>310</v>
      </c>
      <c r="E369" s="82" t="s">
        <v>26</v>
      </c>
      <c r="F369" s="84">
        <v>4</v>
      </c>
      <c r="G369" s="143" t="s">
        <v>881</v>
      </c>
    </row>
    <row r="370" spans="1:7" ht="29.25">
      <c r="A370" s="86" t="s">
        <v>311</v>
      </c>
      <c r="B370" s="82" t="s">
        <v>86</v>
      </c>
      <c r="C370" s="82" t="s">
        <v>312</v>
      </c>
      <c r="D370" s="92" t="s">
        <v>313</v>
      </c>
      <c r="E370" s="82" t="s">
        <v>26</v>
      </c>
      <c r="F370" s="84">
        <v>1</v>
      </c>
      <c r="G370" s="143" t="s">
        <v>773</v>
      </c>
    </row>
    <row r="371" spans="1:7">
      <c r="A371" s="86" t="s">
        <v>314</v>
      </c>
      <c r="B371" s="82" t="s">
        <v>86</v>
      </c>
      <c r="C371" s="82" t="s">
        <v>315</v>
      </c>
      <c r="D371" s="91" t="s">
        <v>563</v>
      </c>
      <c r="E371" s="82" t="s">
        <v>26</v>
      </c>
      <c r="F371" s="84">
        <v>4</v>
      </c>
      <c r="G371" s="143" t="s">
        <v>881</v>
      </c>
    </row>
    <row r="372" spans="1:7">
      <c r="A372" s="86" t="s">
        <v>317</v>
      </c>
      <c r="B372" s="82" t="s">
        <v>86</v>
      </c>
      <c r="C372" s="82" t="s">
        <v>318</v>
      </c>
      <c r="D372" s="91" t="s">
        <v>319</v>
      </c>
      <c r="E372" s="82" t="s">
        <v>26</v>
      </c>
      <c r="F372" s="84">
        <v>4</v>
      </c>
      <c r="G372" s="143" t="s">
        <v>881</v>
      </c>
    </row>
    <row r="373" spans="1:7" ht="29.25">
      <c r="A373" s="86" t="s">
        <v>320</v>
      </c>
      <c r="B373" s="82" t="s">
        <v>86</v>
      </c>
      <c r="C373" s="82" t="s">
        <v>321</v>
      </c>
      <c r="D373" s="90" t="s">
        <v>564</v>
      </c>
      <c r="E373" s="82" t="s">
        <v>27</v>
      </c>
      <c r="F373" s="84">
        <v>0.9</v>
      </c>
      <c r="G373" s="143" t="s">
        <v>883</v>
      </c>
    </row>
    <row r="374" spans="1:7" ht="29.25">
      <c r="A374" s="86" t="s">
        <v>323</v>
      </c>
      <c r="B374" s="82" t="s">
        <v>86</v>
      </c>
      <c r="C374" s="82" t="s">
        <v>321</v>
      </c>
      <c r="D374" s="90" t="s">
        <v>565</v>
      </c>
      <c r="E374" s="82" t="s">
        <v>27</v>
      </c>
      <c r="F374" s="84">
        <f>(0.8*4)</f>
        <v>3.2</v>
      </c>
      <c r="G374" s="143" t="s">
        <v>884</v>
      </c>
    </row>
    <row r="375" spans="1:7">
      <c r="A375" s="86" t="s">
        <v>326</v>
      </c>
      <c r="B375" s="82" t="s">
        <v>86</v>
      </c>
      <c r="C375" s="82" t="s">
        <v>566</v>
      </c>
      <c r="D375" s="81" t="s">
        <v>567</v>
      </c>
      <c r="E375" s="82" t="s">
        <v>23</v>
      </c>
      <c r="F375" s="84">
        <f>ROUND((1.35*1.8*2)+(0.52*1.8*2)+(1.5*0.5*2),2)</f>
        <v>8.23</v>
      </c>
      <c r="G375" s="255" t="s">
        <v>1227</v>
      </c>
    </row>
    <row r="376" spans="1:7">
      <c r="A376" s="86" t="s">
        <v>329</v>
      </c>
      <c r="B376" s="82" t="s">
        <v>86</v>
      </c>
      <c r="C376" s="54" t="s">
        <v>324</v>
      </c>
      <c r="D376" s="91" t="s">
        <v>568</v>
      </c>
      <c r="E376" s="82" t="s">
        <v>26</v>
      </c>
      <c r="F376" s="84">
        <v>1</v>
      </c>
      <c r="G376" s="143" t="s">
        <v>773</v>
      </c>
    </row>
    <row r="377" spans="1:7">
      <c r="A377" s="86" t="s">
        <v>332</v>
      </c>
      <c r="B377" s="82" t="s">
        <v>86</v>
      </c>
      <c r="C377" s="54" t="s">
        <v>327</v>
      </c>
      <c r="D377" s="91" t="s">
        <v>328</v>
      </c>
      <c r="E377" s="82" t="s">
        <v>26</v>
      </c>
      <c r="F377" s="84">
        <v>3</v>
      </c>
      <c r="G377" s="143" t="s">
        <v>881</v>
      </c>
    </row>
    <row r="378" spans="1:7">
      <c r="A378" s="86" t="s">
        <v>334</v>
      </c>
      <c r="B378" s="82" t="s">
        <v>86</v>
      </c>
      <c r="C378" s="82" t="s">
        <v>569</v>
      </c>
      <c r="D378" s="81" t="s">
        <v>570</v>
      </c>
      <c r="E378" s="82" t="s">
        <v>26</v>
      </c>
      <c r="F378" s="84">
        <v>2</v>
      </c>
      <c r="G378" s="143" t="s">
        <v>885</v>
      </c>
    </row>
    <row r="379" spans="1:7">
      <c r="A379" s="86" t="s">
        <v>337</v>
      </c>
      <c r="B379" s="82" t="s">
        <v>86</v>
      </c>
      <c r="C379" s="82" t="s">
        <v>330</v>
      </c>
      <c r="D379" s="81" t="s">
        <v>571</v>
      </c>
      <c r="E379" s="82" t="s">
        <v>23</v>
      </c>
      <c r="F379" s="84">
        <f>(0.8*3.9)</f>
        <v>3.12</v>
      </c>
      <c r="G379" s="143" t="s">
        <v>886</v>
      </c>
    </row>
    <row r="380" spans="1:7">
      <c r="A380" s="86" t="s">
        <v>340</v>
      </c>
      <c r="B380" s="82" t="s">
        <v>86</v>
      </c>
      <c r="C380" s="82" t="s">
        <v>330</v>
      </c>
      <c r="D380" s="81" t="s">
        <v>572</v>
      </c>
      <c r="E380" s="82" t="s">
        <v>23</v>
      </c>
      <c r="F380" s="84">
        <f>(1.7*0.7)</f>
        <v>1.19</v>
      </c>
      <c r="G380" s="143" t="s">
        <v>887</v>
      </c>
    </row>
    <row r="381" spans="1:7">
      <c r="A381" s="86" t="s">
        <v>343</v>
      </c>
      <c r="B381" s="82" t="s">
        <v>86</v>
      </c>
      <c r="C381" s="82" t="s">
        <v>330</v>
      </c>
      <c r="D381" s="81" t="s">
        <v>573</v>
      </c>
      <c r="E381" s="82" t="s">
        <v>23</v>
      </c>
      <c r="F381" s="84">
        <f>(1.7*0.7)+((0.7+0.2)*0.55/2)</f>
        <v>1.4375</v>
      </c>
      <c r="G381" s="143" t="s">
        <v>888</v>
      </c>
    </row>
    <row r="382" spans="1:7" ht="29.25">
      <c r="A382" s="86" t="s">
        <v>346</v>
      </c>
      <c r="B382" s="82" t="s">
        <v>86</v>
      </c>
      <c r="C382" s="82" t="s">
        <v>335</v>
      </c>
      <c r="D382" s="92" t="s">
        <v>336</v>
      </c>
      <c r="E382" s="82" t="s">
        <v>26</v>
      </c>
      <c r="F382" s="84">
        <v>3</v>
      </c>
      <c r="G382" s="143" t="s">
        <v>881</v>
      </c>
    </row>
    <row r="383" spans="1:7">
      <c r="A383" s="86" t="s">
        <v>349</v>
      </c>
      <c r="B383" s="82" t="s">
        <v>86</v>
      </c>
      <c r="C383" s="82" t="s">
        <v>574</v>
      </c>
      <c r="D383" s="91" t="s">
        <v>575</v>
      </c>
      <c r="E383" s="82" t="s">
        <v>26</v>
      </c>
      <c r="F383" s="84">
        <v>4</v>
      </c>
      <c r="G383" s="143" t="s">
        <v>881</v>
      </c>
    </row>
    <row r="384" spans="1:7" ht="30" customHeight="1">
      <c r="A384" s="86" t="s">
        <v>352</v>
      </c>
      <c r="B384" s="82" t="s">
        <v>86</v>
      </c>
      <c r="C384" s="82" t="s">
        <v>347</v>
      </c>
      <c r="D384" s="92" t="s">
        <v>348</v>
      </c>
      <c r="E384" s="82" t="s">
        <v>26</v>
      </c>
      <c r="F384" s="84">
        <v>4</v>
      </c>
      <c r="G384" s="143" t="s">
        <v>881</v>
      </c>
    </row>
    <row r="385" spans="1:7">
      <c r="A385" s="86" t="s">
        <v>355</v>
      </c>
      <c r="B385" s="82" t="s">
        <v>86</v>
      </c>
      <c r="C385" s="82" t="s">
        <v>576</v>
      </c>
      <c r="D385" s="91" t="s">
        <v>577</v>
      </c>
      <c r="E385" s="82" t="s">
        <v>26</v>
      </c>
      <c r="F385" s="84">
        <v>1</v>
      </c>
      <c r="G385" s="143" t="s">
        <v>889</v>
      </c>
    </row>
    <row r="386" spans="1:7">
      <c r="A386" s="10">
        <v>13</v>
      </c>
      <c r="B386" s="13"/>
      <c r="C386" s="13"/>
      <c r="D386" s="7" t="s">
        <v>1057</v>
      </c>
      <c r="E386" s="13"/>
      <c r="F386" s="13"/>
      <c r="G386" s="13"/>
    </row>
    <row r="387" spans="1:7" ht="29.25">
      <c r="A387" s="86" t="s">
        <v>365</v>
      </c>
      <c r="B387" s="82" t="s">
        <v>86</v>
      </c>
      <c r="C387" s="54" t="s">
        <v>366</v>
      </c>
      <c r="D387" s="92" t="s">
        <v>367</v>
      </c>
      <c r="E387" s="82" t="s">
        <v>26</v>
      </c>
      <c r="F387" s="84">
        <v>8</v>
      </c>
      <c r="G387" s="143" t="s">
        <v>890</v>
      </c>
    </row>
    <row r="388" spans="1:7" ht="29.25">
      <c r="A388" s="86" t="s">
        <v>368</v>
      </c>
      <c r="B388" s="82" t="s">
        <v>86</v>
      </c>
      <c r="C388" s="54" t="s">
        <v>369</v>
      </c>
      <c r="D388" s="92" t="s">
        <v>679</v>
      </c>
      <c r="E388" s="82" t="s">
        <v>26</v>
      </c>
      <c r="F388" s="84">
        <v>4</v>
      </c>
      <c r="G388" s="143" t="s">
        <v>891</v>
      </c>
    </row>
    <row r="389" spans="1:7">
      <c r="A389" s="86" t="s">
        <v>370</v>
      </c>
      <c r="B389" s="82" t="s">
        <v>86</v>
      </c>
      <c r="C389" s="54" t="s">
        <v>371</v>
      </c>
      <c r="D389" s="92" t="s">
        <v>372</v>
      </c>
      <c r="E389" s="82" t="s">
        <v>26</v>
      </c>
      <c r="F389" s="84">
        <f>(F387*2)+F391</f>
        <v>21</v>
      </c>
      <c r="G389" s="143" t="s">
        <v>892</v>
      </c>
    </row>
    <row r="390" spans="1:7">
      <c r="A390" s="86" t="s">
        <v>373</v>
      </c>
      <c r="B390" s="82" t="s">
        <v>86</v>
      </c>
      <c r="C390" s="54" t="s">
        <v>374</v>
      </c>
      <c r="D390" s="92" t="s">
        <v>375</v>
      </c>
      <c r="E390" s="82" t="s">
        <v>26</v>
      </c>
      <c r="F390" s="84">
        <f>F388*2</f>
        <v>8</v>
      </c>
      <c r="G390" s="143" t="s">
        <v>893</v>
      </c>
    </row>
    <row r="391" spans="1:7">
      <c r="A391" s="86" t="s">
        <v>376</v>
      </c>
      <c r="B391" s="82" t="s">
        <v>86</v>
      </c>
      <c r="C391" s="54" t="s">
        <v>377</v>
      </c>
      <c r="D391" s="92" t="s">
        <v>378</v>
      </c>
      <c r="E391" s="82" t="s">
        <v>26</v>
      </c>
      <c r="F391" s="84">
        <v>5</v>
      </c>
      <c r="G391" s="143" t="s">
        <v>790</v>
      </c>
    </row>
    <row r="392" spans="1:7" ht="29.25">
      <c r="A392" s="86" t="s">
        <v>379</v>
      </c>
      <c r="B392" s="82" t="s">
        <v>86</v>
      </c>
      <c r="C392" s="54" t="s">
        <v>380</v>
      </c>
      <c r="D392" s="92" t="s">
        <v>381</v>
      </c>
      <c r="E392" s="82" t="s">
        <v>26</v>
      </c>
      <c r="F392" s="84">
        <v>1</v>
      </c>
      <c r="G392" s="143" t="s">
        <v>894</v>
      </c>
    </row>
    <row r="393" spans="1:7">
      <c r="A393" s="86" t="s">
        <v>382</v>
      </c>
      <c r="B393" s="82" t="s">
        <v>86</v>
      </c>
      <c r="C393" s="54" t="s">
        <v>383</v>
      </c>
      <c r="D393" s="92" t="s">
        <v>384</v>
      </c>
      <c r="E393" s="82" t="s">
        <v>26</v>
      </c>
      <c r="F393" s="84">
        <v>2</v>
      </c>
      <c r="G393" s="143" t="s">
        <v>895</v>
      </c>
    </row>
    <row r="394" spans="1:7">
      <c r="A394" s="86" t="s">
        <v>385</v>
      </c>
      <c r="B394" s="82" t="s">
        <v>86</v>
      </c>
      <c r="C394" s="54" t="s">
        <v>386</v>
      </c>
      <c r="D394" s="92" t="s">
        <v>387</v>
      </c>
      <c r="E394" s="82" t="s">
        <v>26</v>
      </c>
      <c r="F394" s="84">
        <v>12</v>
      </c>
      <c r="G394" s="143" t="s">
        <v>896</v>
      </c>
    </row>
    <row r="395" spans="1:7">
      <c r="A395" s="86" t="s">
        <v>388</v>
      </c>
      <c r="B395" s="82" t="s">
        <v>86</v>
      </c>
      <c r="C395" s="54" t="s">
        <v>389</v>
      </c>
      <c r="D395" s="92" t="s">
        <v>390</v>
      </c>
      <c r="E395" s="82" t="s">
        <v>27</v>
      </c>
      <c r="F395" s="84">
        <v>176.91</v>
      </c>
      <c r="G395" s="150" t="s">
        <v>997</v>
      </c>
    </row>
    <row r="396" spans="1:7">
      <c r="A396" s="86" t="s">
        <v>391</v>
      </c>
      <c r="B396" s="82" t="s">
        <v>86</v>
      </c>
      <c r="C396" s="54" t="s">
        <v>392</v>
      </c>
      <c r="D396" s="92" t="s">
        <v>393</v>
      </c>
      <c r="E396" s="82" t="s">
        <v>27</v>
      </c>
      <c r="F396" s="84">
        <v>22.98</v>
      </c>
      <c r="G396" s="150" t="s">
        <v>998</v>
      </c>
    </row>
    <row r="397" spans="1:7">
      <c r="A397" s="86" t="s">
        <v>394</v>
      </c>
      <c r="B397" s="82" t="s">
        <v>86</v>
      </c>
      <c r="C397" s="54" t="s">
        <v>115</v>
      </c>
      <c r="D397" s="92" t="s">
        <v>116</v>
      </c>
      <c r="E397" s="82" t="s">
        <v>27</v>
      </c>
      <c r="F397" s="84">
        <v>122.83</v>
      </c>
      <c r="G397" s="150" t="s">
        <v>999</v>
      </c>
    </row>
    <row r="398" spans="1:7">
      <c r="A398" s="86" t="s">
        <v>395</v>
      </c>
      <c r="B398" s="82" t="s">
        <v>86</v>
      </c>
      <c r="C398" s="54" t="s">
        <v>396</v>
      </c>
      <c r="D398" s="92" t="s">
        <v>397</v>
      </c>
      <c r="E398" s="82" t="s">
        <v>27</v>
      </c>
      <c r="F398" s="84">
        <v>1185.6600000000001</v>
      </c>
      <c r="G398" s="150" t="s">
        <v>1000</v>
      </c>
    </row>
    <row r="399" spans="1:7">
      <c r="A399" s="86" t="s">
        <v>398</v>
      </c>
      <c r="B399" s="82" t="s">
        <v>86</v>
      </c>
      <c r="C399" s="54" t="s">
        <v>399</v>
      </c>
      <c r="D399" s="92" t="s">
        <v>400</v>
      </c>
      <c r="E399" s="82" t="s">
        <v>27</v>
      </c>
      <c r="F399" s="84">
        <v>19.97</v>
      </c>
      <c r="G399" s="150" t="s">
        <v>1001</v>
      </c>
    </row>
    <row r="400" spans="1:7" ht="29.25">
      <c r="A400" s="86" t="s">
        <v>401</v>
      </c>
      <c r="B400" s="82" t="s">
        <v>86</v>
      </c>
      <c r="C400" s="54" t="s">
        <v>402</v>
      </c>
      <c r="D400" s="92" t="s">
        <v>403</v>
      </c>
      <c r="E400" s="82" t="s">
        <v>27</v>
      </c>
      <c r="F400" s="84">
        <v>13.43</v>
      </c>
      <c r="G400" s="150" t="s">
        <v>996</v>
      </c>
    </row>
    <row r="401" spans="1:7" ht="29.25">
      <c r="A401" s="86" t="s">
        <v>404</v>
      </c>
      <c r="B401" s="82" t="s">
        <v>86</v>
      </c>
      <c r="C401" s="54" t="s">
        <v>405</v>
      </c>
      <c r="D401" s="92" t="s">
        <v>406</v>
      </c>
      <c r="E401" s="82" t="s">
        <v>27</v>
      </c>
      <c r="F401" s="84">
        <v>40.22</v>
      </c>
      <c r="G401" s="150" t="s">
        <v>995</v>
      </c>
    </row>
    <row r="402" spans="1:7">
      <c r="A402" s="86" t="s">
        <v>407</v>
      </c>
      <c r="B402" s="82" t="s">
        <v>86</v>
      </c>
      <c r="C402" s="54" t="s">
        <v>408</v>
      </c>
      <c r="D402" s="92" t="s">
        <v>409</v>
      </c>
      <c r="E402" s="82" t="s">
        <v>26</v>
      </c>
      <c r="F402" s="84">
        <f>F404+F405+F406+F407</f>
        <v>24</v>
      </c>
      <c r="G402" s="143" t="s">
        <v>897</v>
      </c>
    </row>
    <row r="403" spans="1:7">
      <c r="A403" s="86" t="s">
        <v>410</v>
      </c>
      <c r="B403" s="82" t="s">
        <v>86</v>
      </c>
      <c r="C403" s="54" t="s">
        <v>411</v>
      </c>
      <c r="D403" s="92" t="s">
        <v>412</v>
      </c>
      <c r="E403" s="82" t="s">
        <v>26</v>
      </c>
      <c r="F403" s="84">
        <v>8</v>
      </c>
      <c r="G403" s="143" t="s">
        <v>898</v>
      </c>
    </row>
    <row r="404" spans="1:7">
      <c r="A404" s="86" t="s">
        <v>413</v>
      </c>
      <c r="B404" s="82" t="s">
        <v>86</v>
      </c>
      <c r="C404" s="54" t="s">
        <v>414</v>
      </c>
      <c r="D404" s="92" t="s">
        <v>415</v>
      </c>
      <c r="E404" s="82" t="s">
        <v>416</v>
      </c>
      <c r="F404" s="84">
        <v>2</v>
      </c>
      <c r="G404" s="143" t="s">
        <v>899</v>
      </c>
    </row>
    <row r="405" spans="1:7">
      <c r="A405" s="86" t="s">
        <v>417</v>
      </c>
      <c r="B405" s="82" t="s">
        <v>86</v>
      </c>
      <c r="C405" s="54" t="s">
        <v>421</v>
      </c>
      <c r="D405" s="92" t="s">
        <v>422</v>
      </c>
      <c r="E405" s="82" t="s">
        <v>416</v>
      </c>
      <c r="F405" s="84">
        <v>7</v>
      </c>
      <c r="G405" s="143" t="s">
        <v>899</v>
      </c>
    </row>
    <row r="406" spans="1:7">
      <c r="A406" s="86" t="s">
        <v>420</v>
      </c>
      <c r="B406" s="82" t="s">
        <v>86</v>
      </c>
      <c r="C406" s="54" t="s">
        <v>424</v>
      </c>
      <c r="D406" s="92" t="s">
        <v>425</v>
      </c>
      <c r="E406" s="82" t="s">
        <v>416</v>
      </c>
      <c r="F406" s="84">
        <v>13</v>
      </c>
      <c r="G406" s="143" t="s">
        <v>797</v>
      </c>
    </row>
    <row r="407" spans="1:7">
      <c r="A407" s="86" t="s">
        <v>423</v>
      </c>
      <c r="B407" s="82" t="s">
        <v>86</v>
      </c>
      <c r="C407" s="54" t="s">
        <v>427</v>
      </c>
      <c r="D407" s="92" t="s">
        <v>428</v>
      </c>
      <c r="E407" s="82" t="s">
        <v>416</v>
      </c>
      <c r="F407" s="84">
        <v>2</v>
      </c>
      <c r="G407" s="143" t="s">
        <v>900</v>
      </c>
    </row>
    <row r="408" spans="1:7">
      <c r="A408" s="86" t="s">
        <v>426</v>
      </c>
      <c r="B408" s="82" t="s">
        <v>86</v>
      </c>
      <c r="C408" s="54" t="s">
        <v>430</v>
      </c>
      <c r="D408" s="92" t="s">
        <v>431</v>
      </c>
      <c r="E408" s="82" t="s">
        <v>148</v>
      </c>
      <c r="F408" s="84">
        <f>(0.403*3)</f>
        <v>1.2090000000000001</v>
      </c>
      <c r="G408" s="143" t="s">
        <v>799</v>
      </c>
    </row>
    <row r="409" spans="1:7">
      <c r="A409" s="86" t="s">
        <v>429</v>
      </c>
      <c r="B409" s="82" t="s">
        <v>86</v>
      </c>
      <c r="C409" s="54" t="s">
        <v>433</v>
      </c>
      <c r="D409" s="92" t="s">
        <v>434</v>
      </c>
      <c r="E409" s="82" t="s">
        <v>27</v>
      </c>
      <c r="F409" s="84">
        <v>15</v>
      </c>
      <c r="G409" s="143" t="s">
        <v>901</v>
      </c>
    </row>
    <row r="410" spans="1:7">
      <c r="A410" s="10">
        <v>14</v>
      </c>
      <c r="B410" s="13"/>
      <c r="C410" s="13"/>
      <c r="D410" s="7" t="s">
        <v>1058</v>
      </c>
      <c r="E410" s="13"/>
      <c r="F410" s="13"/>
      <c r="G410" s="13"/>
    </row>
    <row r="411" spans="1:7">
      <c r="A411" s="86" t="s">
        <v>436</v>
      </c>
      <c r="B411" s="82" t="s">
        <v>86</v>
      </c>
      <c r="C411" s="82" t="s">
        <v>437</v>
      </c>
      <c r="D411" s="91" t="s">
        <v>438</v>
      </c>
      <c r="E411" s="82" t="s">
        <v>26</v>
      </c>
      <c r="F411" s="82">
        <v>1</v>
      </c>
      <c r="G411" s="143" t="s">
        <v>801</v>
      </c>
    </row>
    <row r="412" spans="1:7" ht="29.25">
      <c r="A412" s="86" t="s">
        <v>439</v>
      </c>
      <c r="B412" s="82" t="s">
        <v>86</v>
      </c>
      <c r="C412" s="82" t="s">
        <v>578</v>
      </c>
      <c r="D412" s="92" t="s">
        <v>579</v>
      </c>
      <c r="E412" s="82" t="s">
        <v>26</v>
      </c>
      <c r="F412" s="82">
        <v>1</v>
      </c>
      <c r="G412" s="143" t="s">
        <v>902</v>
      </c>
    </row>
    <row r="413" spans="1:7">
      <c r="A413" s="86" t="s">
        <v>442</v>
      </c>
      <c r="B413" s="82" t="s">
        <v>86</v>
      </c>
      <c r="C413" s="82" t="s">
        <v>580</v>
      </c>
      <c r="D413" s="91" t="s">
        <v>581</v>
      </c>
      <c r="E413" s="82" t="s">
        <v>27</v>
      </c>
      <c r="F413" s="84">
        <v>4</v>
      </c>
      <c r="G413" s="143" t="s">
        <v>902</v>
      </c>
    </row>
    <row r="414" spans="1:7">
      <c r="A414" s="86" t="s">
        <v>445</v>
      </c>
      <c r="B414" s="263" t="s">
        <v>86</v>
      </c>
      <c r="C414" s="82" t="s">
        <v>1247</v>
      </c>
      <c r="D414" s="91" t="s">
        <v>1248</v>
      </c>
      <c r="E414" s="263" t="s">
        <v>26</v>
      </c>
      <c r="F414" s="84">
        <v>1</v>
      </c>
      <c r="G414" s="264" t="s">
        <v>1250</v>
      </c>
    </row>
    <row r="415" spans="1:7" ht="29.25">
      <c r="A415" s="86" t="s">
        <v>447</v>
      </c>
      <c r="B415" s="82" t="s">
        <v>86</v>
      </c>
      <c r="C415" s="82" t="s">
        <v>582</v>
      </c>
      <c r="D415" s="92" t="s">
        <v>583</v>
      </c>
      <c r="E415" s="82" t="s">
        <v>26</v>
      </c>
      <c r="F415" s="84">
        <v>1</v>
      </c>
      <c r="G415" s="143" t="s">
        <v>902</v>
      </c>
    </row>
    <row r="416" spans="1:7">
      <c r="A416" s="86" t="s">
        <v>450</v>
      </c>
      <c r="B416" s="82" t="s">
        <v>86</v>
      </c>
      <c r="C416" s="82" t="s">
        <v>440</v>
      </c>
      <c r="D416" s="91" t="s">
        <v>441</v>
      </c>
      <c r="E416" s="82" t="s">
        <v>27</v>
      </c>
      <c r="F416" s="84">
        <f>(4.4+8+9+6+3+3.5+4+4+3.5+2+2)</f>
        <v>49.4</v>
      </c>
      <c r="G416" s="143" t="s">
        <v>903</v>
      </c>
    </row>
    <row r="417" spans="1:7">
      <c r="A417" s="86" t="s">
        <v>453</v>
      </c>
      <c r="B417" s="82" t="s">
        <v>86</v>
      </c>
      <c r="C417" s="82" t="s">
        <v>443</v>
      </c>
      <c r="D417" s="91" t="s">
        <v>444</v>
      </c>
      <c r="E417" s="82" t="s">
        <v>27</v>
      </c>
      <c r="F417" s="84">
        <f>(6+4.4)</f>
        <v>10.4</v>
      </c>
      <c r="G417" s="143" t="s">
        <v>904</v>
      </c>
    </row>
    <row r="418" spans="1:7" ht="29.25">
      <c r="A418" s="86" t="s">
        <v>456</v>
      </c>
      <c r="B418" s="82" t="s">
        <v>86</v>
      </c>
      <c r="C418" s="82" t="s">
        <v>446</v>
      </c>
      <c r="D418" s="92" t="s">
        <v>678</v>
      </c>
      <c r="E418" s="82" t="s">
        <v>27</v>
      </c>
      <c r="F418" s="84">
        <f>(1.5+1.5+2.5+1.5+1.5)</f>
        <v>8.5</v>
      </c>
      <c r="G418" s="143" t="s">
        <v>905</v>
      </c>
    </row>
    <row r="419" spans="1:7" ht="29.25">
      <c r="A419" s="86" t="s">
        <v>459</v>
      </c>
      <c r="B419" s="82" t="s">
        <v>86</v>
      </c>
      <c r="C419" s="82" t="s">
        <v>448</v>
      </c>
      <c r="D419" s="92" t="s">
        <v>449</v>
      </c>
      <c r="E419" s="82" t="s">
        <v>27</v>
      </c>
      <c r="F419" s="84">
        <f>(1.5+2.5+3+4.5+4.2+5.2+7.6+7.6+4.3+5.3+3)</f>
        <v>48.699999999999996</v>
      </c>
      <c r="G419" s="143" t="s">
        <v>906</v>
      </c>
    </row>
    <row r="420" spans="1:7">
      <c r="A420" s="86" t="s">
        <v>462</v>
      </c>
      <c r="B420" s="82" t="s">
        <v>86</v>
      </c>
      <c r="C420" s="82" t="s">
        <v>451</v>
      </c>
      <c r="D420" s="91" t="s">
        <v>452</v>
      </c>
      <c r="E420" s="82" t="s">
        <v>26</v>
      </c>
      <c r="F420" s="84">
        <v>1</v>
      </c>
      <c r="G420" s="143" t="s">
        <v>907</v>
      </c>
    </row>
    <row r="421" spans="1:7">
      <c r="A421" s="86" t="s">
        <v>465</v>
      </c>
      <c r="B421" s="82" t="s">
        <v>86</v>
      </c>
      <c r="C421" s="82" t="s">
        <v>454</v>
      </c>
      <c r="D421" s="91" t="s">
        <v>455</v>
      </c>
      <c r="E421" s="82" t="s">
        <v>26</v>
      </c>
      <c r="F421" s="84">
        <v>2</v>
      </c>
      <c r="G421" s="143" t="s">
        <v>807</v>
      </c>
    </row>
    <row r="422" spans="1:7">
      <c r="A422" s="86" t="s">
        <v>468</v>
      </c>
      <c r="B422" s="82" t="s">
        <v>86</v>
      </c>
      <c r="C422" s="82" t="s">
        <v>457</v>
      </c>
      <c r="D422" s="91" t="s">
        <v>458</v>
      </c>
      <c r="E422" s="82" t="s">
        <v>26</v>
      </c>
      <c r="F422" s="84">
        <v>4</v>
      </c>
      <c r="G422" s="143" t="s">
        <v>808</v>
      </c>
    </row>
    <row r="423" spans="1:7">
      <c r="A423" s="86" t="s">
        <v>471</v>
      </c>
      <c r="B423" s="82" t="s">
        <v>86</v>
      </c>
      <c r="C423" s="82" t="s">
        <v>463</v>
      </c>
      <c r="D423" s="91" t="s">
        <v>464</v>
      </c>
      <c r="E423" s="82" t="s">
        <v>26</v>
      </c>
      <c r="F423" s="84">
        <v>1</v>
      </c>
      <c r="G423" s="143" t="s">
        <v>908</v>
      </c>
    </row>
    <row r="424" spans="1:7">
      <c r="A424" s="86" t="s">
        <v>474</v>
      </c>
      <c r="B424" s="82" t="s">
        <v>86</v>
      </c>
      <c r="C424" s="82" t="s">
        <v>466</v>
      </c>
      <c r="D424" s="92" t="s">
        <v>467</v>
      </c>
      <c r="E424" s="82" t="s">
        <v>26</v>
      </c>
      <c r="F424" s="84">
        <v>3</v>
      </c>
      <c r="G424" s="143" t="s">
        <v>909</v>
      </c>
    </row>
    <row r="425" spans="1:7" ht="30" customHeight="1">
      <c r="A425" s="86" t="s">
        <v>477</v>
      </c>
      <c r="B425" s="82" t="s">
        <v>86</v>
      </c>
      <c r="C425" s="82" t="s">
        <v>469</v>
      </c>
      <c r="D425" s="92" t="s">
        <v>470</v>
      </c>
      <c r="E425" s="82" t="s">
        <v>26</v>
      </c>
      <c r="F425" s="84">
        <v>1</v>
      </c>
      <c r="G425" s="143" t="s">
        <v>909</v>
      </c>
    </row>
    <row r="426" spans="1:7" ht="29.25">
      <c r="A426" s="86" t="s">
        <v>480</v>
      </c>
      <c r="B426" s="82" t="s">
        <v>86</v>
      </c>
      <c r="C426" s="82" t="s">
        <v>472</v>
      </c>
      <c r="D426" s="92" t="s">
        <v>473</v>
      </c>
      <c r="E426" s="82" t="s">
        <v>26</v>
      </c>
      <c r="F426" s="84">
        <v>1</v>
      </c>
      <c r="G426" s="143" t="s">
        <v>773</v>
      </c>
    </row>
    <row r="427" spans="1:7">
      <c r="A427" s="86" t="s">
        <v>584</v>
      </c>
      <c r="B427" s="82" t="s">
        <v>86</v>
      </c>
      <c r="C427" s="82" t="s">
        <v>475</v>
      </c>
      <c r="D427" s="91" t="s">
        <v>476</v>
      </c>
      <c r="E427" s="82" t="s">
        <v>26</v>
      </c>
      <c r="F427" s="84">
        <v>1</v>
      </c>
      <c r="G427" s="143" t="s">
        <v>910</v>
      </c>
    </row>
    <row r="428" spans="1:7">
      <c r="A428" s="86" t="s">
        <v>585</v>
      </c>
      <c r="B428" s="82" t="s">
        <v>86</v>
      </c>
      <c r="C428" s="82" t="s">
        <v>478</v>
      </c>
      <c r="D428" s="91" t="s">
        <v>479</v>
      </c>
      <c r="E428" s="82" t="s">
        <v>26</v>
      </c>
      <c r="F428" s="84">
        <v>2</v>
      </c>
      <c r="G428" s="143" t="s">
        <v>910</v>
      </c>
    </row>
    <row r="429" spans="1:7">
      <c r="A429" s="86" t="s">
        <v>1249</v>
      </c>
      <c r="B429" s="82" t="s">
        <v>86</v>
      </c>
      <c r="C429" s="82" t="s">
        <v>481</v>
      </c>
      <c r="D429" s="91" t="s">
        <v>482</v>
      </c>
      <c r="E429" s="82" t="s">
        <v>26</v>
      </c>
      <c r="F429" s="84">
        <v>1</v>
      </c>
      <c r="G429" s="143" t="s">
        <v>910</v>
      </c>
    </row>
    <row r="430" spans="1:7">
      <c r="A430" s="10">
        <v>15</v>
      </c>
      <c r="B430" s="13"/>
      <c r="C430" s="13"/>
      <c r="D430" s="7" t="s">
        <v>484</v>
      </c>
      <c r="E430" s="13"/>
      <c r="F430" s="13"/>
      <c r="G430" s="13"/>
    </row>
    <row r="431" spans="1:7">
      <c r="A431" s="93" t="s">
        <v>485</v>
      </c>
      <c r="B431" s="82" t="s">
        <v>86</v>
      </c>
      <c r="C431" s="82" t="s">
        <v>486</v>
      </c>
      <c r="D431" s="91" t="s">
        <v>487</v>
      </c>
      <c r="E431" s="82" t="s">
        <v>26</v>
      </c>
      <c r="F431" s="82">
        <v>1</v>
      </c>
      <c r="G431" s="143" t="s">
        <v>911</v>
      </c>
    </row>
    <row r="432" spans="1:7">
      <c r="A432" s="93" t="s">
        <v>488</v>
      </c>
      <c r="B432" s="82" t="s">
        <v>86</v>
      </c>
      <c r="C432" s="82" t="s">
        <v>489</v>
      </c>
      <c r="D432" s="91" t="s">
        <v>490</v>
      </c>
      <c r="E432" s="82" t="s">
        <v>26</v>
      </c>
      <c r="F432" s="82">
        <v>1</v>
      </c>
      <c r="G432" s="143" t="s">
        <v>912</v>
      </c>
    </row>
    <row r="433" spans="1:7" ht="29.25">
      <c r="A433" s="93" t="s">
        <v>491</v>
      </c>
      <c r="B433" s="82" t="s">
        <v>86</v>
      </c>
      <c r="C433" s="82" t="s">
        <v>492</v>
      </c>
      <c r="D433" s="92" t="s">
        <v>493</v>
      </c>
      <c r="E433" s="82" t="s">
        <v>26</v>
      </c>
      <c r="F433" s="82">
        <v>1</v>
      </c>
      <c r="G433" s="143" t="s">
        <v>913</v>
      </c>
    </row>
    <row r="434" spans="1:7" ht="29.25">
      <c r="A434" s="93" t="s">
        <v>494</v>
      </c>
      <c r="B434" s="82" t="s">
        <v>86</v>
      </c>
      <c r="C434" s="82" t="s">
        <v>586</v>
      </c>
      <c r="D434" s="92" t="s">
        <v>587</v>
      </c>
      <c r="E434" s="82" t="s">
        <v>26</v>
      </c>
      <c r="F434" s="82">
        <v>4</v>
      </c>
      <c r="G434" s="143" t="s">
        <v>913</v>
      </c>
    </row>
    <row r="435" spans="1:7">
      <c r="A435" s="93" t="s">
        <v>497</v>
      </c>
      <c r="B435" s="82" t="s">
        <v>86</v>
      </c>
      <c r="C435" s="82" t="s">
        <v>495</v>
      </c>
      <c r="D435" s="91" t="s">
        <v>496</v>
      </c>
      <c r="E435" s="82" t="s">
        <v>26</v>
      </c>
      <c r="F435" s="82">
        <v>2</v>
      </c>
      <c r="G435" s="143" t="s">
        <v>914</v>
      </c>
    </row>
    <row r="436" spans="1:7" ht="29.25">
      <c r="A436" s="93" t="s">
        <v>588</v>
      </c>
      <c r="B436" s="82" t="s">
        <v>86</v>
      </c>
      <c r="C436" s="82" t="s">
        <v>498</v>
      </c>
      <c r="D436" s="92" t="s">
        <v>499</v>
      </c>
      <c r="E436" s="82" t="s">
        <v>23</v>
      </c>
      <c r="F436" s="84">
        <f>(4*0.25)</f>
        <v>1</v>
      </c>
      <c r="G436" s="143" t="s">
        <v>915</v>
      </c>
    </row>
    <row r="437" spans="1:7" ht="29.25">
      <c r="A437" s="93" t="s">
        <v>589</v>
      </c>
      <c r="B437" s="82" t="s">
        <v>86</v>
      </c>
      <c r="C437" s="82" t="s">
        <v>498</v>
      </c>
      <c r="D437" s="92" t="s">
        <v>499</v>
      </c>
      <c r="E437" s="82" t="s">
        <v>23</v>
      </c>
      <c r="F437" s="84">
        <f>(5*0.25)</f>
        <v>1.25</v>
      </c>
      <c r="G437" s="143" t="s">
        <v>916</v>
      </c>
    </row>
    <row r="438" spans="1:7">
      <c r="A438" s="10">
        <v>16</v>
      </c>
      <c r="B438" s="13"/>
      <c r="C438" s="13"/>
      <c r="D438" s="7" t="s">
        <v>501</v>
      </c>
      <c r="E438" s="13"/>
      <c r="F438" s="13"/>
      <c r="G438" s="13"/>
    </row>
    <row r="439" spans="1:7">
      <c r="A439" s="86" t="s">
        <v>502</v>
      </c>
      <c r="B439" s="298" t="s">
        <v>86</v>
      </c>
      <c r="C439" s="82" t="s">
        <v>503</v>
      </c>
      <c r="D439" s="81" t="s">
        <v>504</v>
      </c>
      <c r="E439" s="82" t="s">
        <v>26</v>
      </c>
      <c r="F439" s="82">
        <v>1</v>
      </c>
      <c r="G439" s="143" t="s">
        <v>917</v>
      </c>
    </row>
    <row r="440" spans="1:7">
      <c r="A440" s="10">
        <v>17</v>
      </c>
      <c r="B440" s="13"/>
      <c r="C440" s="13"/>
      <c r="D440" s="7" t="s">
        <v>22</v>
      </c>
      <c r="E440" s="13"/>
      <c r="F440" s="13"/>
      <c r="G440" s="13"/>
    </row>
    <row r="441" spans="1:7">
      <c r="A441" s="86" t="s">
        <v>509</v>
      </c>
      <c r="B441" s="298" t="s">
        <v>86</v>
      </c>
      <c r="C441" s="82" t="s">
        <v>28</v>
      </c>
      <c r="D441" s="81" t="s">
        <v>510</v>
      </c>
      <c r="E441" s="82" t="s">
        <v>23</v>
      </c>
      <c r="F441" s="84">
        <v>129.29</v>
      </c>
      <c r="G441" s="143" t="s">
        <v>824</v>
      </c>
    </row>
    <row r="442" spans="1:7" ht="9" customHeight="1">
      <c r="A442" s="134"/>
      <c r="B442" s="134"/>
      <c r="C442" s="134"/>
      <c r="D442" s="134"/>
      <c r="E442" s="134"/>
      <c r="F442" s="134"/>
      <c r="G442" s="134"/>
    </row>
    <row r="443" spans="1:7" ht="15.75">
      <c r="A443" s="106" t="s">
        <v>674</v>
      </c>
      <c r="B443" s="97"/>
      <c r="C443" s="97"/>
      <c r="D443" s="97" t="s">
        <v>681</v>
      </c>
      <c r="E443" s="97"/>
      <c r="F443" s="97"/>
      <c r="G443" s="97"/>
    </row>
    <row r="444" spans="1:7" ht="9" customHeight="1">
      <c r="A444" s="134"/>
      <c r="B444" s="134"/>
      <c r="C444" s="134"/>
      <c r="D444" s="134"/>
      <c r="E444" s="134"/>
      <c r="F444" s="134"/>
      <c r="G444" s="134"/>
    </row>
    <row r="445" spans="1:7">
      <c r="A445" s="10">
        <v>1</v>
      </c>
      <c r="B445" s="79"/>
      <c r="C445" s="79"/>
      <c r="D445" s="10" t="s">
        <v>13</v>
      </c>
      <c r="E445" s="79"/>
      <c r="F445" s="79"/>
      <c r="G445" s="79"/>
    </row>
    <row r="446" spans="1:7">
      <c r="A446" s="81" t="s">
        <v>9</v>
      </c>
      <c r="B446" s="82" t="s">
        <v>86</v>
      </c>
      <c r="C446" s="82" t="s">
        <v>513</v>
      </c>
      <c r="D446" s="86" t="s">
        <v>514</v>
      </c>
      <c r="E446" s="82" t="s">
        <v>25</v>
      </c>
      <c r="F446" s="84">
        <f>(((2.4+0.6)*5.2/2)*4.76)</f>
        <v>37.128</v>
      </c>
      <c r="G446" s="135" t="s">
        <v>918</v>
      </c>
    </row>
    <row r="447" spans="1:7">
      <c r="A447" s="81" t="s">
        <v>10</v>
      </c>
      <c r="B447" s="82" t="s">
        <v>86</v>
      </c>
      <c r="C447" s="82" t="s">
        <v>1037</v>
      </c>
      <c r="D447" s="83" t="s">
        <v>1048</v>
      </c>
      <c r="E447" s="82" t="s">
        <v>25</v>
      </c>
      <c r="F447" s="84">
        <f>(92.12*0.3)</f>
        <v>27.635999999999999</v>
      </c>
      <c r="G447" s="143" t="s">
        <v>919</v>
      </c>
    </row>
    <row r="448" spans="1:7">
      <c r="A448" s="81" t="s">
        <v>11</v>
      </c>
      <c r="B448" s="82" t="s">
        <v>86</v>
      </c>
      <c r="C448" s="82" t="s">
        <v>133</v>
      </c>
      <c r="D448" s="86" t="s">
        <v>134</v>
      </c>
      <c r="E448" s="82" t="s">
        <v>23</v>
      </c>
      <c r="F448" s="84">
        <f>70.25+21.87</f>
        <v>92.12</v>
      </c>
      <c r="G448" s="143" t="s">
        <v>920</v>
      </c>
    </row>
    <row r="449" spans="1:7">
      <c r="A449" s="81" t="s">
        <v>12</v>
      </c>
      <c r="B449" s="82" t="s">
        <v>86</v>
      </c>
      <c r="C449" s="82" t="s">
        <v>90</v>
      </c>
      <c r="D449" s="86" t="s">
        <v>91</v>
      </c>
      <c r="E449" s="82" t="s">
        <v>92</v>
      </c>
      <c r="F449" s="84">
        <v>4</v>
      </c>
      <c r="G449" s="179" t="s">
        <v>1064</v>
      </c>
    </row>
    <row r="450" spans="1:7">
      <c r="A450" s="10">
        <v>2</v>
      </c>
      <c r="B450" s="7"/>
      <c r="C450" s="7"/>
      <c r="D450" s="10" t="s">
        <v>45</v>
      </c>
      <c r="E450" s="13"/>
      <c r="F450" s="20"/>
      <c r="G450" s="20"/>
    </row>
    <row r="451" spans="1:7">
      <c r="A451" s="86" t="s">
        <v>14</v>
      </c>
      <c r="B451" s="82" t="s">
        <v>86</v>
      </c>
      <c r="C451" s="82" t="s">
        <v>95</v>
      </c>
      <c r="D451" s="83" t="s">
        <v>96</v>
      </c>
      <c r="E451" s="82" t="s">
        <v>25</v>
      </c>
      <c r="F451" s="51">
        <f>(2*1*(F452+F453))</f>
        <v>201.06</v>
      </c>
      <c r="G451" s="255" t="s">
        <v>1232</v>
      </c>
    </row>
    <row r="452" spans="1:7">
      <c r="A452" s="86" t="s">
        <v>41</v>
      </c>
      <c r="B452" s="82" t="s">
        <v>86</v>
      </c>
      <c r="C452" s="82" t="s">
        <v>42</v>
      </c>
      <c r="D452" s="83" t="s">
        <v>43</v>
      </c>
      <c r="E452" s="82" t="s">
        <v>27</v>
      </c>
      <c r="F452" s="51">
        <f>29.09+25.44</f>
        <v>54.53</v>
      </c>
      <c r="G452" s="143" t="s">
        <v>921</v>
      </c>
    </row>
    <row r="453" spans="1:7">
      <c r="A453" s="86" t="s">
        <v>44</v>
      </c>
      <c r="B453" s="236" t="s">
        <v>86</v>
      </c>
      <c r="C453" s="99" t="s">
        <v>1157</v>
      </c>
      <c r="D453" s="237" t="s">
        <v>1158</v>
      </c>
      <c r="E453" s="236" t="s">
        <v>27</v>
      </c>
      <c r="F453" s="219">
        <v>46</v>
      </c>
      <c r="G453" s="230" t="s">
        <v>1212</v>
      </c>
    </row>
    <row r="454" spans="1:7">
      <c r="A454" s="86" t="s">
        <v>49</v>
      </c>
      <c r="B454" s="236" t="s">
        <v>86</v>
      </c>
      <c r="C454" s="99" t="s">
        <v>1159</v>
      </c>
      <c r="D454" s="237" t="s">
        <v>1160</v>
      </c>
      <c r="E454" s="236" t="s">
        <v>26</v>
      </c>
      <c r="F454" s="219">
        <v>1</v>
      </c>
      <c r="G454" s="230" t="s">
        <v>1211</v>
      </c>
    </row>
    <row r="455" spans="1:7">
      <c r="A455" s="86" t="s">
        <v>145</v>
      </c>
      <c r="B455" s="82" t="s">
        <v>86</v>
      </c>
      <c r="C455" s="82" t="s">
        <v>87</v>
      </c>
      <c r="D455" s="83" t="s">
        <v>88</v>
      </c>
      <c r="E455" s="82" t="s">
        <v>25</v>
      </c>
      <c r="F455" s="51">
        <f>F451*0.8</f>
        <v>160.84800000000001</v>
      </c>
      <c r="G455" s="255" t="s">
        <v>1233</v>
      </c>
    </row>
    <row r="456" spans="1:7">
      <c r="A456" s="86" t="s">
        <v>149</v>
      </c>
      <c r="B456" s="82" t="s">
        <v>86</v>
      </c>
      <c r="C456" s="82" t="s">
        <v>125</v>
      </c>
      <c r="D456" s="83" t="s">
        <v>126</v>
      </c>
      <c r="E456" s="82" t="s">
        <v>26</v>
      </c>
      <c r="F456" s="51">
        <v>3</v>
      </c>
      <c r="G456" s="143" t="s">
        <v>922</v>
      </c>
    </row>
    <row r="457" spans="1:7">
      <c r="A457" s="86" t="s">
        <v>152</v>
      </c>
      <c r="B457" s="213" t="s">
        <v>86</v>
      </c>
      <c r="C457" s="213" t="s">
        <v>141</v>
      </c>
      <c r="D457" s="214" t="s">
        <v>1107</v>
      </c>
      <c r="E457" s="213" t="s">
        <v>25</v>
      </c>
      <c r="F457" s="51">
        <f>ROUND((1.8*0.1*3)+(3*2.1*0.1)+(0.7*0.1*3)+(3*1.4*0.1)+(1.71*0.1),2)</f>
        <v>1.97</v>
      </c>
      <c r="G457" s="223" t="s">
        <v>1182</v>
      </c>
    </row>
    <row r="458" spans="1:7">
      <c r="A458" s="86" t="s">
        <v>154</v>
      </c>
      <c r="B458" s="213" t="s">
        <v>86</v>
      </c>
      <c r="C458" s="73" t="s">
        <v>146</v>
      </c>
      <c r="D458" s="214" t="s">
        <v>1103</v>
      </c>
      <c r="E458" s="213" t="s">
        <v>148</v>
      </c>
      <c r="F458" s="51">
        <f>F457*80</f>
        <v>157.6</v>
      </c>
      <c r="G458" s="223" t="s">
        <v>1183</v>
      </c>
    </row>
    <row r="459" spans="1:7">
      <c r="A459" s="86" t="s">
        <v>156</v>
      </c>
      <c r="B459" s="213" t="s">
        <v>86</v>
      </c>
      <c r="C459" s="73" t="s">
        <v>150</v>
      </c>
      <c r="D459" s="214" t="s">
        <v>1104</v>
      </c>
      <c r="E459" s="213" t="s">
        <v>148</v>
      </c>
      <c r="F459" s="51">
        <f>F457*14</f>
        <v>27.58</v>
      </c>
      <c r="G459" s="223" t="s">
        <v>1184</v>
      </c>
    </row>
    <row r="460" spans="1:7" ht="29.25">
      <c r="A460" s="86" t="s">
        <v>158</v>
      </c>
      <c r="B460" s="213" t="s">
        <v>86</v>
      </c>
      <c r="C460" s="73" t="s">
        <v>661</v>
      </c>
      <c r="D460" s="214" t="s">
        <v>1105</v>
      </c>
      <c r="E460" s="213" t="s">
        <v>25</v>
      </c>
      <c r="F460" s="51">
        <f>F457</f>
        <v>1.97</v>
      </c>
      <c r="G460" s="223" t="s">
        <v>1182</v>
      </c>
    </row>
    <row r="461" spans="1:7">
      <c r="A461" s="86" t="s">
        <v>160</v>
      </c>
      <c r="B461" s="216" t="s">
        <v>86</v>
      </c>
      <c r="C461" s="217" t="s">
        <v>1161</v>
      </c>
      <c r="D461" s="218" t="s">
        <v>1162</v>
      </c>
      <c r="E461" s="216" t="s">
        <v>23</v>
      </c>
      <c r="F461" s="219">
        <f>(5.5*2)+2.25</f>
        <v>13.25</v>
      </c>
      <c r="G461" s="223" t="s">
        <v>1197</v>
      </c>
    </row>
    <row r="462" spans="1:7">
      <c r="A462" s="86" t="s">
        <v>1163</v>
      </c>
      <c r="B462" s="216" t="s">
        <v>86</v>
      </c>
      <c r="C462" s="217" t="s">
        <v>219</v>
      </c>
      <c r="D462" s="218" t="s">
        <v>220</v>
      </c>
      <c r="E462" s="216" t="s">
        <v>23</v>
      </c>
      <c r="F462" s="219">
        <f>F461*2</f>
        <v>26.5</v>
      </c>
      <c r="G462" s="223" t="s">
        <v>1198</v>
      </c>
    </row>
    <row r="463" spans="1:7">
      <c r="A463" s="86" t="s">
        <v>1164</v>
      </c>
      <c r="B463" s="216" t="s">
        <v>86</v>
      </c>
      <c r="C463" s="217" t="s">
        <v>217</v>
      </c>
      <c r="D463" s="218" t="s">
        <v>525</v>
      </c>
      <c r="E463" s="216" t="s">
        <v>23</v>
      </c>
      <c r="F463" s="219">
        <f>F462</f>
        <v>26.5</v>
      </c>
      <c r="G463" s="223" t="s">
        <v>1198</v>
      </c>
    </row>
    <row r="464" spans="1:7">
      <c r="A464" s="86" t="s">
        <v>1165</v>
      </c>
      <c r="B464" s="213" t="s">
        <v>86</v>
      </c>
      <c r="C464" s="73" t="s">
        <v>663</v>
      </c>
      <c r="D464" s="214" t="s">
        <v>1102</v>
      </c>
      <c r="E464" s="213" t="s">
        <v>23</v>
      </c>
      <c r="F464" s="51">
        <f>(1.8*3)+(0.7*3)</f>
        <v>7.5</v>
      </c>
      <c r="G464" s="223" t="s">
        <v>1199</v>
      </c>
    </row>
    <row r="465" spans="1:7" ht="43.5">
      <c r="A465" s="86" t="s">
        <v>1166</v>
      </c>
      <c r="B465" s="44" t="s">
        <v>86</v>
      </c>
      <c r="C465" s="73" t="s">
        <v>1034</v>
      </c>
      <c r="D465" s="183" t="s">
        <v>1043</v>
      </c>
      <c r="E465" s="184" t="s">
        <v>25</v>
      </c>
      <c r="F465" s="51">
        <f>(0.5*1*1.5*3)</f>
        <v>2.25</v>
      </c>
      <c r="G465" s="223" t="s">
        <v>1068</v>
      </c>
    </row>
    <row r="466" spans="1:7" ht="43.5">
      <c r="A466" s="86" t="s">
        <v>1167</v>
      </c>
      <c r="B466" s="44" t="s">
        <v>86</v>
      </c>
      <c r="C466" s="73" t="s">
        <v>1044</v>
      </c>
      <c r="D466" s="183" t="s">
        <v>1045</v>
      </c>
      <c r="E466" s="184" t="s">
        <v>25</v>
      </c>
      <c r="F466" s="51">
        <f>(1*1*1.5*6)</f>
        <v>9</v>
      </c>
      <c r="G466" s="223" t="s">
        <v>1200</v>
      </c>
    </row>
    <row r="467" spans="1:7">
      <c r="A467" s="10">
        <v>3</v>
      </c>
      <c r="B467" s="7"/>
      <c r="C467" s="7"/>
      <c r="D467" s="10" t="s">
        <v>135</v>
      </c>
      <c r="E467" s="13"/>
      <c r="F467" s="13"/>
      <c r="G467" s="13"/>
    </row>
    <row r="468" spans="1:7" ht="29.25">
      <c r="A468" s="86" t="s">
        <v>15</v>
      </c>
      <c r="B468" s="82" t="s">
        <v>86</v>
      </c>
      <c r="C468" s="82" t="s">
        <v>136</v>
      </c>
      <c r="D468" s="83" t="s">
        <v>137</v>
      </c>
      <c r="E468" s="82" t="s">
        <v>138</v>
      </c>
      <c r="F468" s="84">
        <v>1</v>
      </c>
      <c r="G468" s="143" t="s">
        <v>923</v>
      </c>
    </row>
    <row r="469" spans="1:7">
      <c r="A469" s="86" t="s">
        <v>47</v>
      </c>
      <c r="B469" s="82" t="s">
        <v>86</v>
      </c>
      <c r="C469" s="82" t="s">
        <v>594</v>
      </c>
      <c r="D469" s="83" t="s">
        <v>595</v>
      </c>
      <c r="E469" s="82" t="s">
        <v>27</v>
      </c>
      <c r="F469" s="84">
        <f>(26*1.5)+(3*2.2)</f>
        <v>45.6</v>
      </c>
      <c r="G469" s="143" t="s">
        <v>924</v>
      </c>
    </row>
    <row r="470" spans="1:7">
      <c r="A470" s="86" t="s">
        <v>166</v>
      </c>
      <c r="B470" s="82" t="s">
        <v>86</v>
      </c>
      <c r="C470" s="82" t="s">
        <v>139</v>
      </c>
      <c r="D470" s="86" t="s">
        <v>140</v>
      </c>
      <c r="E470" s="82" t="s">
        <v>27</v>
      </c>
      <c r="F470" s="84">
        <f>(25*8)</f>
        <v>200</v>
      </c>
      <c r="G470" s="143" t="s">
        <v>925</v>
      </c>
    </row>
    <row r="471" spans="1:7">
      <c r="A471" s="86" t="s">
        <v>168</v>
      </c>
      <c r="B471" s="82" t="s">
        <v>86</v>
      </c>
      <c r="C471" s="82" t="s">
        <v>596</v>
      </c>
      <c r="D471" s="86" t="s">
        <v>597</v>
      </c>
      <c r="E471" s="82" t="s">
        <v>27</v>
      </c>
      <c r="F471" s="84">
        <f>(2*8)</f>
        <v>16</v>
      </c>
      <c r="G471" s="145" t="s">
        <v>926</v>
      </c>
    </row>
    <row r="472" spans="1:7">
      <c r="A472" s="86" t="s">
        <v>170</v>
      </c>
      <c r="B472" s="82" t="s">
        <v>86</v>
      </c>
      <c r="C472" s="82" t="s">
        <v>141</v>
      </c>
      <c r="D472" s="86" t="s">
        <v>142</v>
      </c>
      <c r="E472" s="82" t="s">
        <v>25</v>
      </c>
      <c r="F472" s="84">
        <f>(0.2*0.25*86.07)+(0.5*0.25*18.32)+(0.2*0.3*49.42)</f>
        <v>9.5587</v>
      </c>
      <c r="G472" s="143" t="s">
        <v>927</v>
      </c>
    </row>
    <row r="473" spans="1:7">
      <c r="A473" s="86" t="s">
        <v>172</v>
      </c>
      <c r="B473" s="82" t="s">
        <v>86</v>
      </c>
      <c r="C473" s="82" t="s">
        <v>143</v>
      </c>
      <c r="D473" s="86" t="s">
        <v>144</v>
      </c>
      <c r="E473" s="82" t="s">
        <v>25</v>
      </c>
      <c r="F473" s="84">
        <f>F472</f>
        <v>9.5587</v>
      </c>
      <c r="G473" s="143" t="s">
        <v>927</v>
      </c>
    </row>
    <row r="474" spans="1:7">
      <c r="A474" s="86" t="s">
        <v>174</v>
      </c>
      <c r="B474" s="82" t="s">
        <v>86</v>
      </c>
      <c r="C474" s="82" t="s">
        <v>146</v>
      </c>
      <c r="D474" s="86" t="s">
        <v>147</v>
      </c>
      <c r="E474" s="82" t="s">
        <v>148</v>
      </c>
      <c r="F474" s="84">
        <f>F472*80</f>
        <v>764.69600000000003</v>
      </c>
      <c r="G474" s="144" t="s">
        <v>928</v>
      </c>
    </row>
    <row r="475" spans="1:7">
      <c r="A475" s="86" t="s">
        <v>177</v>
      </c>
      <c r="B475" s="82" t="s">
        <v>86</v>
      </c>
      <c r="C475" s="82" t="s">
        <v>150</v>
      </c>
      <c r="D475" s="86" t="s">
        <v>151</v>
      </c>
      <c r="E475" s="82" t="s">
        <v>148</v>
      </c>
      <c r="F475" s="84">
        <f>F472*14</f>
        <v>133.8218</v>
      </c>
      <c r="G475" s="143" t="s">
        <v>929</v>
      </c>
    </row>
    <row r="476" spans="1:7">
      <c r="A476" s="86" t="s">
        <v>180</v>
      </c>
      <c r="B476" s="82" t="s">
        <v>86</v>
      </c>
      <c r="C476" s="82" t="s">
        <v>141</v>
      </c>
      <c r="D476" s="86" t="s">
        <v>153</v>
      </c>
      <c r="E476" s="82" t="s">
        <v>25</v>
      </c>
      <c r="F476" s="84">
        <f>(0.5*0.5*0.4*11)+(0.5*1.4*0.4*8)</f>
        <v>3.34</v>
      </c>
      <c r="G476" s="143" t="s">
        <v>930</v>
      </c>
    </row>
    <row r="477" spans="1:7" ht="29.25">
      <c r="A477" s="86" t="s">
        <v>183</v>
      </c>
      <c r="B477" s="82" t="s">
        <v>86</v>
      </c>
      <c r="C477" s="82" t="s">
        <v>143</v>
      </c>
      <c r="D477" s="83" t="s">
        <v>155</v>
      </c>
      <c r="E477" s="82" t="s">
        <v>25</v>
      </c>
      <c r="F477" s="84">
        <f>F476</f>
        <v>3.34</v>
      </c>
      <c r="G477" s="143" t="s">
        <v>930</v>
      </c>
    </row>
    <row r="478" spans="1:7">
      <c r="A478" s="86" t="s">
        <v>186</v>
      </c>
      <c r="B478" s="82" t="s">
        <v>86</v>
      </c>
      <c r="C478" s="82" t="s">
        <v>146</v>
      </c>
      <c r="D478" s="86" t="s">
        <v>157</v>
      </c>
      <c r="E478" s="82" t="s">
        <v>148</v>
      </c>
      <c r="F478" s="84">
        <f>F476*80</f>
        <v>267.2</v>
      </c>
      <c r="G478" s="143" t="s">
        <v>931</v>
      </c>
    </row>
    <row r="479" spans="1:7">
      <c r="A479" s="86" t="s">
        <v>189</v>
      </c>
      <c r="B479" s="82" t="s">
        <v>86</v>
      </c>
      <c r="C479" s="82" t="s">
        <v>150</v>
      </c>
      <c r="D479" s="86" t="s">
        <v>159</v>
      </c>
      <c r="E479" s="82" t="s">
        <v>148</v>
      </c>
      <c r="F479" s="84">
        <f>F476*14</f>
        <v>46.76</v>
      </c>
      <c r="G479" s="143" t="s">
        <v>932</v>
      </c>
    </row>
    <row r="480" spans="1:7" ht="29.25">
      <c r="A480" s="86" t="s">
        <v>598</v>
      </c>
      <c r="B480" s="82" t="s">
        <v>86</v>
      </c>
      <c r="C480" s="82" t="s">
        <v>161</v>
      </c>
      <c r="D480" s="86" t="s">
        <v>162</v>
      </c>
      <c r="E480" s="82" t="s">
        <v>25</v>
      </c>
      <c r="F480" s="84">
        <f>((0.2*86.07)+(0.5*18.32)+(0.2*49.42)+(0.5*0.5*11)+(0.5*1.4*8))*0.03</f>
        <v>1.3382399999999999</v>
      </c>
      <c r="G480" s="144" t="s">
        <v>933</v>
      </c>
    </row>
    <row r="481" spans="1:7">
      <c r="A481" s="10">
        <v>4</v>
      </c>
      <c r="B481" s="7"/>
      <c r="C481" s="7"/>
      <c r="D481" s="10" t="s">
        <v>163</v>
      </c>
      <c r="E481" s="13"/>
      <c r="F481" s="13"/>
      <c r="G481" s="13"/>
    </row>
    <row r="482" spans="1:7" ht="45" customHeight="1">
      <c r="A482" s="86" t="s">
        <v>16</v>
      </c>
      <c r="B482" s="82" t="s">
        <v>86</v>
      </c>
      <c r="C482" s="82" t="s">
        <v>141</v>
      </c>
      <c r="D482" s="83" t="s">
        <v>164</v>
      </c>
      <c r="E482" s="82" t="s">
        <v>25</v>
      </c>
      <c r="F482" s="84">
        <f>(0.15*0.25*3.1*3)+(0.15*0.25*7.18*5)+(0.15*0.45*4.4*5)+(0.15*0.45*2.05)+(0.15*0.45*4.1*2)+(0.15*0.2*0.6*11)+(0.15*0.2*0.5*17)+(0.15*0.2*0.9*1)+(0.13*3.2*1)+(0.13*4.1*1)</f>
        <v>5.3008750000000013</v>
      </c>
      <c r="G482" s="144" t="s">
        <v>934</v>
      </c>
    </row>
    <row r="483" spans="1:7" ht="45" customHeight="1">
      <c r="A483" s="86" t="s">
        <v>17</v>
      </c>
      <c r="B483" s="82" t="s">
        <v>86</v>
      </c>
      <c r="C483" s="82" t="s">
        <v>146</v>
      </c>
      <c r="D483" s="25" t="s">
        <v>165</v>
      </c>
      <c r="E483" s="82" t="s">
        <v>148</v>
      </c>
      <c r="F483" s="84">
        <f>80*F482</f>
        <v>424.07000000000011</v>
      </c>
      <c r="G483" s="144" t="s">
        <v>935</v>
      </c>
    </row>
    <row r="484" spans="1:7" ht="45" customHeight="1">
      <c r="A484" s="86" t="s">
        <v>93</v>
      </c>
      <c r="B484" s="82" t="s">
        <v>86</v>
      </c>
      <c r="C484" s="82" t="s">
        <v>150</v>
      </c>
      <c r="D484" s="25" t="s">
        <v>167</v>
      </c>
      <c r="E484" s="82" t="s">
        <v>148</v>
      </c>
      <c r="F484" s="84">
        <f>14*F482</f>
        <v>74.212250000000012</v>
      </c>
      <c r="G484" s="144" t="s">
        <v>936</v>
      </c>
    </row>
    <row r="485" spans="1:7" ht="29.25">
      <c r="A485" s="86" t="s">
        <v>94</v>
      </c>
      <c r="B485" s="82" t="s">
        <v>86</v>
      </c>
      <c r="C485" s="82" t="s">
        <v>141</v>
      </c>
      <c r="D485" s="83" t="s">
        <v>169</v>
      </c>
      <c r="E485" s="82" t="s">
        <v>25</v>
      </c>
      <c r="F485" s="84">
        <f>(0.15*0.3*19.92)+(0.15*0.3*12.36)+(0.5*0.25*10.41)+(0.08*0.3*9.55)</f>
        <v>2.98305</v>
      </c>
      <c r="G485" s="144" t="s">
        <v>937</v>
      </c>
    </row>
    <row r="486" spans="1:7" ht="29.25">
      <c r="A486" s="86" t="s">
        <v>599</v>
      </c>
      <c r="B486" s="82" t="s">
        <v>86</v>
      </c>
      <c r="C486" s="82" t="s">
        <v>146</v>
      </c>
      <c r="D486" s="25" t="s">
        <v>171</v>
      </c>
      <c r="E486" s="82" t="s">
        <v>148</v>
      </c>
      <c r="F486" s="84">
        <f>80*F485</f>
        <v>238.64400000000001</v>
      </c>
      <c r="G486" s="146" t="s">
        <v>938</v>
      </c>
    </row>
    <row r="487" spans="1:7" ht="29.25">
      <c r="A487" s="86" t="s">
        <v>600</v>
      </c>
      <c r="B487" s="82" t="s">
        <v>86</v>
      </c>
      <c r="C487" s="82" t="s">
        <v>150</v>
      </c>
      <c r="D487" s="25" t="s">
        <v>173</v>
      </c>
      <c r="E487" s="82" t="s">
        <v>148</v>
      </c>
      <c r="F487" s="84">
        <f>14*F485</f>
        <v>41.762700000000002</v>
      </c>
      <c r="G487" s="144" t="s">
        <v>939</v>
      </c>
    </row>
    <row r="488" spans="1:7">
      <c r="A488" s="86" t="s">
        <v>601</v>
      </c>
      <c r="B488" s="82" t="s">
        <v>86</v>
      </c>
      <c r="C488" s="82" t="s">
        <v>175</v>
      </c>
      <c r="D488" s="86" t="s">
        <v>176</v>
      </c>
      <c r="E488" s="82" t="s">
        <v>25</v>
      </c>
      <c r="F488" s="84">
        <f>0.15*0.15*(1.8+1.8+1.6+2+2+1.5+1.5)</f>
        <v>0.27449999999999997</v>
      </c>
      <c r="G488" s="144" t="s">
        <v>940</v>
      </c>
    </row>
    <row r="489" spans="1:7" ht="29.25">
      <c r="A489" s="86" t="s">
        <v>602</v>
      </c>
      <c r="B489" s="82" t="s">
        <v>86</v>
      </c>
      <c r="C489" s="82" t="s">
        <v>178</v>
      </c>
      <c r="D489" s="28" t="s">
        <v>179</v>
      </c>
      <c r="E489" s="82" t="s">
        <v>23</v>
      </c>
      <c r="F489" s="84">
        <f>21.87</f>
        <v>21.87</v>
      </c>
      <c r="G489" s="143" t="s">
        <v>941</v>
      </c>
    </row>
    <row r="490" spans="1:7" ht="29.25">
      <c r="A490" s="86" t="s">
        <v>603</v>
      </c>
      <c r="B490" s="82" t="s">
        <v>86</v>
      </c>
      <c r="C490" s="82" t="s">
        <v>181</v>
      </c>
      <c r="D490" s="28" t="s">
        <v>604</v>
      </c>
      <c r="E490" s="82" t="s">
        <v>23</v>
      </c>
      <c r="F490" s="84">
        <f>F489+(10.55*1.35)+70.25+64.51</f>
        <v>170.8725</v>
      </c>
      <c r="G490" s="145" t="s">
        <v>942</v>
      </c>
    </row>
    <row r="491" spans="1:7" ht="30" customHeight="1">
      <c r="A491" s="86" t="s">
        <v>605</v>
      </c>
      <c r="B491" s="82" t="s">
        <v>86</v>
      </c>
      <c r="C491" s="82" t="s">
        <v>184</v>
      </c>
      <c r="D491" s="83" t="s">
        <v>606</v>
      </c>
      <c r="E491" s="82" t="s">
        <v>25</v>
      </c>
      <c r="F491" s="84">
        <f>(17.8*0.05)+(64.51*0.1)</f>
        <v>7.3410000000000011</v>
      </c>
      <c r="G491" s="143" t="s">
        <v>943</v>
      </c>
    </row>
    <row r="492" spans="1:7">
      <c r="A492" s="86" t="s">
        <v>607</v>
      </c>
      <c r="B492" s="82" t="s">
        <v>86</v>
      </c>
      <c r="C492" s="82" t="s">
        <v>608</v>
      </c>
      <c r="D492" s="86" t="s">
        <v>609</v>
      </c>
      <c r="E492" s="82" t="s">
        <v>148</v>
      </c>
      <c r="F492" s="84">
        <f>(1.48*64.51)</f>
        <v>95.474800000000002</v>
      </c>
      <c r="G492" s="143" t="s">
        <v>944</v>
      </c>
    </row>
    <row r="493" spans="1:7">
      <c r="A493" s="86" t="s">
        <v>610</v>
      </c>
      <c r="B493" s="82" t="s">
        <v>86</v>
      </c>
      <c r="C493" s="82" t="s">
        <v>187</v>
      </c>
      <c r="D493" s="86" t="s">
        <v>188</v>
      </c>
      <c r="E493" s="82" t="s">
        <v>23</v>
      </c>
      <c r="F493" s="84">
        <f>(0.25*38.73)</f>
        <v>9.6824999999999992</v>
      </c>
      <c r="G493" s="143" t="s">
        <v>945</v>
      </c>
    </row>
    <row r="494" spans="1:7">
      <c r="A494" s="86" t="s">
        <v>611</v>
      </c>
      <c r="B494" s="82" t="s">
        <v>86</v>
      </c>
      <c r="C494" s="82" t="s">
        <v>612</v>
      </c>
      <c r="D494" s="86" t="s">
        <v>613</v>
      </c>
      <c r="E494" s="82" t="s">
        <v>27</v>
      </c>
      <c r="F494" s="84">
        <f>3.2+4.1</f>
        <v>7.3</v>
      </c>
      <c r="G494" s="143" t="s">
        <v>946</v>
      </c>
    </row>
    <row r="495" spans="1:7">
      <c r="A495" s="86" t="s">
        <v>614</v>
      </c>
      <c r="B495" s="82" t="s">
        <v>86</v>
      </c>
      <c r="C495" s="82" t="s">
        <v>190</v>
      </c>
      <c r="D495" s="86" t="s">
        <v>191</v>
      </c>
      <c r="E495" s="82" t="s">
        <v>25</v>
      </c>
      <c r="F495" s="84">
        <f>5.3+2.98+7.34+4.92</f>
        <v>20.54</v>
      </c>
      <c r="G495" s="143" t="s">
        <v>947</v>
      </c>
    </row>
    <row r="496" spans="1:7">
      <c r="A496" s="86" t="s">
        <v>615</v>
      </c>
      <c r="B496" s="82" t="s">
        <v>86</v>
      </c>
      <c r="C496" s="82" t="s">
        <v>141</v>
      </c>
      <c r="D496" s="86" t="s">
        <v>616</v>
      </c>
      <c r="E496" s="82" t="s">
        <v>25</v>
      </c>
      <c r="F496" s="84">
        <f>(70.25*0.07)</f>
        <v>4.9175000000000004</v>
      </c>
      <c r="G496" s="143" t="s">
        <v>948</v>
      </c>
    </row>
    <row r="497" spans="1:7">
      <c r="A497" s="86" t="s">
        <v>617</v>
      </c>
      <c r="B497" s="82" t="s">
        <v>86</v>
      </c>
      <c r="C497" s="82" t="s">
        <v>146</v>
      </c>
      <c r="D497" s="25" t="s">
        <v>618</v>
      </c>
      <c r="E497" s="82" t="s">
        <v>148</v>
      </c>
      <c r="F497" s="84">
        <f>F496*80</f>
        <v>393.40000000000003</v>
      </c>
      <c r="G497" s="143" t="s">
        <v>949</v>
      </c>
    </row>
    <row r="498" spans="1:7">
      <c r="A498" s="86" t="s">
        <v>619</v>
      </c>
      <c r="B498" s="82" t="s">
        <v>86</v>
      </c>
      <c r="C498" s="82" t="s">
        <v>150</v>
      </c>
      <c r="D498" s="25" t="s">
        <v>620</v>
      </c>
      <c r="E498" s="82" t="s">
        <v>148</v>
      </c>
      <c r="F498" s="84">
        <f>F496*14</f>
        <v>68.844999999999999</v>
      </c>
      <c r="G498" s="143" t="s">
        <v>950</v>
      </c>
    </row>
    <row r="499" spans="1:7" ht="29.25">
      <c r="A499" s="86" t="s">
        <v>621</v>
      </c>
      <c r="B499" s="82" t="s">
        <v>86</v>
      </c>
      <c r="C499" s="82" t="s">
        <v>622</v>
      </c>
      <c r="D499" s="28" t="s">
        <v>623</v>
      </c>
      <c r="E499" s="82" t="s">
        <v>23</v>
      </c>
      <c r="F499" s="84">
        <v>70.25</v>
      </c>
      <c r="G499" s="143" t="s">
        <v>951</v>
      </c>
    </row>
    <row r="500" spans="1:7">
      <c r="A500" s="86" t="s">
        <v>624</v>
      </c>
      <c r="B500" s="82" t="s">
        <v>86</v>
      </c>
      <c r="C500" s="82" t="s">
        <v>184</v>
      </c>
      <c r="D500" s="86" t="s">
        <v>625</v>
      </c>
      <c r="E500" s="82" t="s">
        <v>25</v>
      </c>
      <c r="F500" s="84">
        <f>0.0558+0.0774+0.09+0.0152</f>
        <v>0.23839999999999997</v>
      </c>
      <c r="G500" s="143" t="s">
        <v>952</v>
      </c>
    </row>
    <row r="501" spans="1:7">
      <c r="A501" s="10">
        <v>5</v>
      </c>
      <c r="B501" s="7"/>
      <c r="C501" s="7"/>
      <c r="D501" s="10" t="s">
        <v>192</v>
      </c>
      <c r="E501" s="13"/>
      <c r="F501" s="13"/>
      <c r="G501" s="13"/>
    </row>
    <row r="502" spans="1:7">
      <c r="A502" s="86" t="s">
        <v>18</v>
      </c>
      <c r="B502" s="82" t="s">
        <v>86</v>
      </c>
      <c r="C502" s="82" t="s">
        <v>193</v>
      </c>
      <c r="D502" s="25" t="s">
        <v>194</v>
      </c>
      <c r="E502" s="82" t="s">
        <v>25</v>
      </c>
      <c r="F502" s="84">
        <f>((90.07+49.42)*0.2*0.15)</f>
        <v>4.1847000000000003</v>
      </c>
      <c r="G502" s="143" t="s">
        <v>953</v>
      </c>
    </row>
    <row r="503" spans="1:7">
      <c r="A503" s="86" t="s">
        <v>52</v>
      </c>
      <c r="B503" s="82" t="s">
        <v>86</v>
      </c>
      <c r="C503" s="82" t="s">
        <v>195</v>
      </c>
      <c r="D503" s="25" t="s">
        <v>196</v>
      </c>
      <c r="E503" s="82" t="s">
        <v>23</v>
      </c>
      <c r="F503" s="84">
        <f>(16.72*2.7)+(12.48*1.8)+(6*2.9)+(8.75*2.9*2)+(10.41*1.2*2)+(4.62*2.9*2)+(10.55*1.1*2)+(24.9*0.6)+(34.22*0.5)+(4*0.9)-(1.6*2.2)-(1.5*0.7)-(1.5*1)-(0.25*3.1*3)-(0.25*7.18*5)-(0.45*4.4*5)-(0.45*2.05)-(0.45*4.1*2)-(0.2*0.6*11)-(0.2*0.5*17)-(0.2*0.9*1)-(0.13*3.2*1)-(0.13*4.1*1)</f>
        <v>210.3665</v>
      </c>
      <c r="G503" s="144" t="s">
        <v>954</v>
      </c>
    </row>
    <row r="504" spans="1:7" ht="29.25">
      <c r="A504" s="86" t="s">
        <v>54</v>
      </c>
      <c r="B504" s="82" t="s">
        <v>86</v>
      </c>
      <c r="C504" s="82" t="s">
        <v>181</v>
      </c>
      <c r="D504" s="28" t="s">
        <v>515</v>
      </c>
      <c r="E504" s="82" t="s">
        <v>23</v>
      </c>
      <c r="F504" s="84">
        <f>(14.91*3.1)+(25*0.55)+(86.07*0.5)</f>
        <v>103.006</v>
      </c>
      <c r="G504" s="143" t="s">
        <v>955</v>
      </c>
    </row>
    <row r="505" spans="1:7" ht="29.25">
      <c r="A505" s="86" t="s">
        <v>55</v>
      </c>
      <c r="B505" s="82" t="s">
        <v>86</v>
      </c>
      <c r="C505" s="82" t="s">
        <v>198</v>
      </c>
      <c r="D505" s="28" t="s">
        <v>199</v>
      </c>
      <c r="E505" s="82" t="s">
        <v>23</v>
      </c>
      <c r="F505" s="84">
        <f>(118.31*0.4)+(20.42*0.4)+(24.17*0.4)</f>
        <v>65.160000000000011</v>
      </c>
      <c r="G505" s="143" t="s">
        <v>956</v>
      </c>
    </row>
    <row r="506" spans="1:7">
      <c r="A506" s="10">
        <v>6</v>
      </c>
      <c r="B506" s="7"/>
      <c r="C506" s="13"/>
      <c r="D506" s="10" t="s">
        <v>200</v>
      </c>
      <c r="E506" s="13"/>
      <c r="F506" s="13"/>
      <c r="G506" s="13"/>
    </row>
    <row r="507" spans="1:7">
      <c r="A507" s="86" t="s">
        <v>62</v>
      </c>
      <c r="B507" s="82" t="s">
        <v>86</v>
      </c>
      <c r="C507" s="82" t="s">
        <v>207</v>
      </c>
      <c r="D507" s="86" t="s">
        <v>208</v>
      </c>
      <c r="E507" s="82" t="s">
        <v>27</v>
      </c>
      <c r="F507" s="84">
        <f>(2.44)</f>
        <v>2.44</v>
      </c>
      <c r="G507" s="143" t="s">
        <v>957</v>
      </c>
    </row>
    <row r="508" spans="1:7">
      <c r="A508" s="86" t="s">
        <v>64</v>
      </c>
      <c r="B508" s="82" t="s">
        <v>86</v>
      </c>
      <c r="C508" s="82" t="s">
        <v>207</v>
      </c>
      <c r="D508" s="86" t="s">
        <v>210</v>
      </c>
      <c r="E508" s="82" t="s">
        <v>27</v>
      </c>
      <c r="F508" s="84">
        <f>(2.44+2.44+3.8+3.8)</f>
        <v>12.48</v>
      </c>
      <c r="G508" s="143" t="s">
        <v>958</v>
      </c>
    </row>
    <row r="509" spans="1:7">
      <c r="A509" s="10">
        <v>7</v>
      </c>
      <c r="B509" s="13"/>
      <c r="C509" s="13"/>
      <c r="D509" s="10" t="s">
        <v>216</v>
      </c>
      <c r="E509" s="13"/>
      <c r="F509" s="13"/>
      <c r="G509" s="13"/>
    </row>
    <row r="510" spans="1:7">
      <c r="A510" s="86" t="s">
        <v>68</v>
      </c>
      <c r="B510" s="82" t="s">
        <v>86</v>
      </c>
      <c r="C510" s="82" t="s">
        <v>217</v>
      </c>
      <c r="D510" s="86" t="s">
        <v>218</v>
      </c>
      <c r="E510" s="82" t="s">
        <v>23</v>
      </c>
      <c r="F510" s="84">
        <f>(16.72*2.7*2)+(12.48*1.8)+(6*2.9*2)+(8.75*2.9*2)+(10.41*1.2*2)+(4.62*2.9*2)+(10.55*1.1*2)+(24.9*0.6*2)+(34.22*0.5*2)+(4*0.9*2)+92.12-(1.6*2.2)-(1.5*0.7)-(1.5*1)-(0.25*3.1*3)-(0.25*7.18*5)-(0.45*4.4*5)-(0.45*2.05)-(0.45*4.1*2)-(0.2*0.6*11)-(0.2*0.5*17)-(0.2*0.9*1)-(0.13*3.2*1)-(0.13*4.1*1)</f>
        <v>400.68049999999994</v>
      </c>
      <c r="G510" s="144" t="s">
        <v>959</v>
      </c>
    </row>
    <row r="511" spans="1:7">
      <c r="A511" s="86" t="s">
        <v>69</v>
      </c>
      <c r="B511" s="82" t="s">
        <v>86</v>
      </c>
      <c r="C511" s="82" t="s">
        <v>219</v>
      </c>
      <c r="D511" s="25" t="s">
        <v>526</v>
      </c>
      <c r="E511" s="82" t="s">
        <v>23</v>
      </c>
      <c r="F511" s="84">
        <f>F510</f>
        <v>400.68049999999994</v>
      </c>
      <c r="G511" s="144" t="s">
        <v>959</v>
      </c>
    </row>
    <row r="512" spans="1:7" ht="29.25">
      <c r="A512" s="86" t="s">
        <v>70</v>
      </c>
      <c r="B512" s="82" t="s">
        <v>86</v>
      </c>
      <c r="C512" s="82" t="s">
        <v>626</v>
      </c>
      <c r="D512" s="28" t="s">
        <v>694</v>
      </c>
      <c r="E512" s="82" t="s">
        <v>23</v>
      </c>
      <c r="F512" s="84">
        <f>(84.85+32.38+20.08+2.73)</f>
        <v>140.04</v>
      </c>
      <c r="G512" s="143" t="s">
        <v>960</v>
      </c>
    </row>
    <row r="513" spans="1:7" ht="29.25">
      <c r="A513" s="86" t="s">
        <v>223</v>
      </c>
      <c r="B513" s="82" t="s">
        <v>86</v>
      </c>
      <c r="C513" s="82" t="s">
        <v>627</v>
      </c>
      <c r="D513" s="28" t="s">
        <v>628</v>
      </c>
      <c r="E513" s="82" t="s">
        <v>23</v>
      </c>
      <c r="F513" s="84">
        <f>(6.67+3.43+3.11)*0.7</f>
        <v>9.2469999999999981</v>
      </c>
      <c r="G513" s="143" t="s">
        <v>961</v>
      </c>
    </row>
    <row r="514" spans="1:7">
      <c r="A514" s="10">
        <v>8</v>
      </c>
      <c r="B514" s="13"/>
      <c r="C514" s="13"/>
      <c r="D514" s="10" t="s">
        <v>233</v>
      </c>
      <c r="E514" s="13"/>
      <c r="F514" s="20"/>
      <c r="G514" s="20"/>
    </row>
    <row r="515" spans="1:7" ht="29.25">
      <c r="A515" s="86" t="s">
        <v>73</v>
      </c>
      <c r="B515" s="82" t="s">
        <v>86</v>
      </c>
      <c r="C515" s="82" t="s">
        <v>221</v>
      </c>
      <c r="D515" s="28" t="s">
        <v>629</v>
      </c>
      <c r="E515" s="82" t="s">
        <v>23</v>
      </c>
      <c r="F515" s="84">
        <f>(4.76*2.5)+(2.3*1.3)</f>
        <v>14.889999999999999</v>
      </c>
      <c r="G515" s="143" t="s">
        <v>962</v>
      </c>
    </row>
    <row r="516" spans="1:7" ht="29.25">
      <c r="A516" s="86" t="s">
        <v>75</v>
      </c>
      <c r="B516" s="82" t="s">
        <v>86</v>
      </c>
      <c r="C516" s="82" t="s">
        <v>236</v>
      </c>
      <c r="D516" s="83" t="s">
        <v>680</v>
      </c>
      <c r="E516" s="82" t="s">
        <v>27</v>
      </c>
      <c r="F516" s="84">
        <f>(3.8+4.76+2.5+2.32+0.15+1.3+2.3)</f>
        <v>17.13</v>
      </c>
      <c r="G516" s="145" t="s">
        <v>963</v>
      </c>
    </row>
    <row r="517" spans="1:7" ht="29.25">
      <c r="A517" s="86" t="s">
        <v>78</v>
      </c>
      <c r="B517" s="82" t="s">
        <v>86</v>
      </c>
      <c r="C517" s="82" t="s">
        <v>630</v>
      </c>
      <c r="D517" s="83" t="s">
        <v>231</v>
      </c>
      <c r="E517" s="82" t="s">
        <v>23</v>
      </c>
      <c r="F517" s="84">
        <f>F515</f>
        <v>14.889999999999999</v>
      </c>
      <c r="G517" s="143" t="s">
        <v>962</v>
      </c>
    </row>
    <row r="518" spans="1:7" ht="29.25">
      <c r="A518" s="86" t="s">
        <v>109</v>
      </c>
      <c r="B518" s="82" t="s">
        <v>86</v>
      </c>
      <c r="C518" s="82" t="s">
        <v>238</v>
      </c>
      <c r="D518" s="83" t="s">
        <v>239</v>
      </c>
      <c r="E518" s="82" t="s">
        <v>27</v>
      </c>
      <c r="F518" s="84">
        <f>F516</f>
        <v>17.13</v>
      </c>
      <c r="G518" s="145" t="s">
        <v>963</v>
      </c>
    </row>
    <row r="519" spans="1:7">
      <c r="A519" s="10">
        <v>9</v>
      </c>
      <c r="B519" s="13"/>
      <c r="C519" s="13"/>
      <c r="D519" s="10" t="s">
        <v>547</v>
      </c>
      <c r="E519" s="13"/>
      <c r="F519" s="13"/>
      <c r="G519" s="13"/>
    </row>
    <row r="520" spans="1:7" ht="29.25">
      <c r="A520" s="246" t="s">
        <v>81</v>
      </c>
      <c r="B520" s="82" t="s">
        <v>86</v>
      </c>
      <c r="C520" s="82" t="s">
        <v>63</v>
      </c>
      <c r="D520" s="83" t="s">
        <v>65</v>
      </c>
      <c r="E520" s="82" t="s">
        <v>23</v>
      </c>
      <c r="F520" s="84">
        <v>110</v>
      </c>
      <c r="G520" s="145" t="s">
        <v>964</v>
      </c>
    </row>
    <row r="521" spans="1:7">
      <c r="A521" s="10">
        <v>10</v>
      </c>
      <c r="B521" s="13"/>
      <c r="C521" s="13"/>
      <c r="D521" s="10" t="s">
        <v>250</v>
      </c>
      <c r="E521" s="13"/>
      <c r="F521" s="13"/>
      <c r="G521" s="13"/>
    </row>
    <row r="522" spans="1:7">
      <c r="A522" s="86" t="s">
        <v>103</v>
      </c>
      <c r="B522" s="82" t="s">
        <v>86</v>
      </c>
      <c r="C522" s="82" t="s">
        <v>631</v>
      </c>
      <c r="D522" s="28" t="s">
        <v>632</v>
      </c>
      <c r="E522" s="82" t="s">
        <v>23</v>
      </c>
      <c r="F522" s="82">
        <f>1.6*2.2</f>
        <v>3.5200000000000005</v>
      </c>
      <c r="G522" s="145" t="s">
        <v>965</v>
      </c>
    </row>
    <row r="523" spans="1:7">
      <c r="A523" s="86" t="s">
        <v>253</v>
      </c>
      <c r="B523" s="82" t="s">
        <v>86</v>
      </c>
      <c r="C523" s="82" t="s">
        <v>263</v>
      </c>
      <c r="D523" s="91" t="s">
        <v>633</v>
      </c>
      <c r="E523" s="82" t="s">
        <v>23</v>
      </c>
      <c r="F523" s="84">
        <f>(1.6*0.7)+(1.8*1)+(0.65*1.6*2)+1.16</f>
        <v>6.16</v>
      </c>
      <c r="G523" s="145" t="s">
        <v>966</v>
      </c>
    </row>
    <row r="524" spans="1:7">
      <c r="A524" s="86" t="s">
        <v>256</v>
      </c>
      <c r="B524" s="82" t="s">
        <v>86</v>
      </c>
      <c r="C524" s="82" t="s">
        <v>556</v>
      </c>
      <c r="D524" s="91" t="s">
        <v>634</v>
      </c>
      <c r="E524" s="82" t="s">
        <v>23</v>
      </c>
      <c r="F524" s="84">
        <f>F523</f>
        <v>6.16</v>
      </c>
      <c r="G524" s="145" t="s">
        <v>966</v>
      </c>
    </row>
    <row r="525" spans="1:7">
      <c r="A525" s="10">
        <v>11</v>
      </c>
      <c r="B525" s="13"/>
      <c r="C525" s="13"/>
      <c r="D525" s="7" t="s">
        <v>270</v>
      </c>
      <c r="E525" s="13"/>
      <c r="F525" s="13"/>
      <c r="G525" s="13"/>
    </row>
    <row r="526" spans="1:7">
      <c r="A526" s="86" t="s">
        <v>271</v>
      </c>
      <c r="B526" s="82" t="s">
        <v>86</v>
      </c>
      <c r="C526" s="54" t="s">
        <v>278</v>
      </c>
      <c r="D526" s="91" t="s">
        <v>635</v>
      </c>
      <c r="E526" s="82" t="s">
        <v>23</v>
      </c>
      <c r="F526" s="84">
        <f>F510-F528</f>
        <v>331.36849999999993</v>
      </c>
      <c r="G526" s="144" t="s">
        <v>967</v>
      </c>
    </row>
    <row r="527" spans="1:7">
      <c r="A527" s="86" t="s">
        <v>274</v>
      </c>
      <c r="B527" s="82" t="s">
        <v>86</v>
      </c>
      <c r="C527" s="82" t="s">
        <v>636</v>
      </c>
      <c r="D527" s="81" t="s">
        <v>637</v>
      </c>
      <c r="E527" s="82" t="s">
        <v>23</v>
      </c>
      <c r="F527" s="84">
        <f>(10.26*3.2*2)+(6.2*4.4)+(11.92*1.2*2)-(1.5*0.7)-9.25</f>
        <v>111.25200000000001</v>
      </c>
      <c r="G527" s="144" t="s">
        <v>968</v>
      </c>
    </row>
    <row r="528" spans="1:7">
      <c r="A528" s="86" t="s">
        <v>277</v>
      </c>
      <c r="B528" s="82" t="s">
        <v>86</v>
      </c>
      <c r="C528" s="82" t="s">
        <v>275</v>
      </c>
      <c r="D528" s="81" t="s">
        <v>276</v>
      </c>
      <c r="E528" s="82" t="s">
        <v>23</v>
      </c>
      <c r="F528" s="84">
        <f>(17.02*3.1)+21.87-3.52-1.8</f>
        <v>69.312000000000012</v>
      </c>
      <c r="G528" s="143" t="s">
        <v>969</v>
      </c>
    </row>
    <row r="529" spans="1:7">
      <c r="A529" s="86" t="s">
        <v>280</v>
      </c>
      <c r="B529" s="82" t="s">
        <v>86</v>
      </c>
      <c r="C529" s="82" t="s">
        <v>272</v>
      </c>
      <c r="D529" s="81" t="s">
        <v>273</v>
      </c>
      <c r="E529" s="82" t="s">
        <v>23</v>
      </c>
      <c r="F529" s="84">
        <f>F528</f>
        <v>69.312000000000012</v>
      </c>
      <c r="G529" s="143" t="s">
        <v>969</v>
      </c>
    </row>
    <row r="530" spans="1:7">
      <c r="A530" s="86" t="s">
        <v>561</v>
      </c>
      <c r="B530" s="82" t="s">
        <v>86</v>
      </c>
      <c r="C530" s="82" t="s">
        <v>638</v>
      </c>
      <c r="D530" s="81" t="s">
        <v>639</v>
      </c>
      <c r="E530" s="82" t="s">
        <v>23</v>
      </c>
      <c r="F530" s="84">
        <f>F526</f>
        <v>331.36849999999993</v>
      </c>
      <c r="G530" s="144" t="s">
        <v>967</v>
      </c>
    </row>
    <row r="531" spans="1:7">
      <c r="A531" s="86" t="s">
        <v>640</v>
      </c>
      <c r="B531" s="82" t="s">
        <v>86</v>
      </c>
      <c r="C531" s="82" t="s">
        <v>641</v>
      </c>
      <c r="D531" s="81" t="s">
        <v>642</v>
      </c>
      <c r="E531" s="82" t="s">
        <v>23</v>
      </c>
      <c r="F531" s="84">
        <f>F522*2</f>
        <v>7.0400000000000009</v>
      </c>
      <c r="G531" s="143" t="s">
        <v>970</v>
      </c>
    </row>
    <row r="532" spans="1:7">
      <c r="A532" s="10">
        <v>12</v>
      </c>
      <c r="B532" s="13"/>
      <c r="C532" s="13"/>
      <c r="D532" s="7" t="s">
        <v>284</v>
      </c>
      <c r="E532" s="13"/>
      <c r="F532" s="13"/>
      <c r="G532" s="13"/>
    </row>
    <row r="533" spans="1:7">
      <c r="A533" s="86" t="s">
        <v>285</v>
      </c>
      <c r="B533" s="82" t="s">
        <v>86</v>
      </c>
      <c r="C533" s="82" t="s">
        <v>643</v>
      </c>
      <c r="D533" s="92" t="s">
        <v>644</v>
      </c>
      <c r="E533" s="82" t="s">
        <v>27</v>
      </c>
      <c r="F533" s="84">
        <f>0.9*6</f>
        <v>5.4</v>
      </c>
      <c r="G533" s="144" t="s">
        <v>971</v>
      </c>
    </row>
    <row r="534" spans="1:7">
      <c r="A534" s="86" t="s">
        <v>288</v>
      </c>
      <c r="B534" s="82" t="s">
        <v>86</v>
      </c>
      <c r="C534" s="82" t="s">
        <v>321</v>
      </c>
      <c r="D534" s="92" t="s">
        <v>645</v>
      </c>
      <c r="E534" s="82" t="s">
        <v>27</v>
      </c>
      <c r="F534" s="84">
        <v>1.6</v>
      </c>
      <c r="G534" s="145" t="s">
        <v>972</v>
      </c>
    </row>
    <row r="535" spans="1:7">
      <c r="A535" s="10">
        <v>13</v>
      </c>
      <c r="B535" s="13"/>
      <c r="C535" s="13"/>
      <c r="D535" s="7" t="s">
        <v>646</v>
      </c>
      <c r="E535" s="13"/>
      <c r="F535" s="13"/>
      <c r="G535" s="13"/>
    </row>
    <row r="536" spans="1:7" ht="29.25">
      <c r="A536" s="86" t="s">
        <v>365</v>
      </c>
      <c r="B536" s="82" t="s">
        <v>86</v>
      </c>
      <c r="C536" s="54" t="s">
        <v>366</v>
      </c>
      <c r="D536" s="92" t="s">
        <v>367</v>
      </c>
      <c r="E536" s="82" t="s">
        <v>26</v>
      </c>
      <c r="F536" s="84">
        <v>4</v>
      </c>
      <c r="G536" s="143" t="s">
        <v>890</v>
      </c>
    </row>
    <row r="537" spans="1:7">
      <c r="A537" s="86" t="s">
        <v>368</v>
      </c>
      <c r="B537" s="82" t="s">
        <v>86</v>
      </c>
      <c r="C537" s="54" t="s">
        <v>371</v>
      </c>
      <c r="D537" s="92" t="s">
        <v>372</v>
      </c>
      <c r="E537" s="82" t="s">
        <v>26</v>
      </c>
      <c r="F537" s="84">
        <f>(F536*2)+F538</f>
        <v>13</v>
      </c>
      <c r="G537" s="143" t="s">
        <v>973</v>
      </c>
    </row>
    <row r="538" spans="1:7">
      <c r="A538" s="86" t="s">
        <v>370</v>
      </c>
      <c r="B538" s="82" t="s">
        <v>86</v>
      </c>
      <c r="C538" s="54" t="s">
        <v>377</v>
      </c>
      <c r="D538" s="92" t="s">
        <v>378</v>
      </c>
      <c r="E538" s="82" t="s">
        <v>26</v>
      </c>
      <c r="F538" s="84">
        <v>5</v>
      </c>
      <c r="G538" s="143" t="s">
        <v>974</v>
      </c>
    </row>
    <row r="539" spans="1:7" ht="29.25">
      <c r="A539" s="86" t="s">
        <v>373</v>
      </c>
      <c r="B539" s="82" t="s">
        <v>86</v>
      </c>
      <c r="C539" s="54" t="s">
        <v>380</v>
      </c>
      <c r="D539" s="92" t="s">
        <v>381</v>
      </c>
      <c r="E539" s="82" t="s">
        <v>26</v>
      </c>
      <c r="F539" s="84">
        <v>1</v>
      </c>
      <c r="G539" s="143" t="s">
        <v>975</v>
      </c>
    </row>
    <row r="540" spans="1:7">
      <c r="A540" s="86" t="s">
        <v>376</v>
      </c>
      <c r="B540" s="82" t="s">
        <v>86</v>
      </c>
      <c r="C540" s="54" t="s">
        <v>383</v>
      </c>
      <c r="D540" s="92" t="s">
        <v>384</v>
      </c>
      <c r="E540" s="82" t="s">
        <v>26</v>
      </c>
      <c r="F540" s="84">
        <v>2</v>
      </c>
      <c r="G540" s="143" t="s">
        <v>895</v>
      </c>
    </row>
    <row r="541" spans="1:7">
      <c r="A541" s="86" t="s">
        <v>379</v>
      </c>
      <c r="B541" s="82" t="s">
        <v>86</v>
      </c>
      <c r="C541" s="54" t="s">
        <v>386</v>
      </c>
      <c r="D541" s="92" t="s">
        <v>387</v>
      </c>
      <c r="E541" s="82" t="s">
        <v>26</v>
      </c>
      <c r="F541" s="84">
        <v>8</v>
      </c>
      <c r="G541" s="143" t="s">
        <v>976</v>
      </c>
    </row>
    <row r="542" spans="1:7">
      <c r="A542" s="86" t="s">
        <v>382</v>
      </c>
      <c r="B542" s="82" t="s">
        <v>86</v>
      </c>
      <c r="C542" s="54" t="s">
        <v>389</v>
      </c>
      <c r="D542" s="92" t="s">
        <v>390</v>
      </c>
      <c r="E542" s="82" t="s">
        <v>27</v>
      </c>
      <c r="F542" s="84">
        <v>126.05</v>
      </c>
      <c r="G542" s="150" t="s">
        <v>1006</v>
      </c>
    </row>
    <row r="543" spans="1:7">
      <c r="A543" s="86" t="s">
        <v>385</v>
      </c>
      <c r="B543" s="82" t="s">
        <v>86</v>
      </c>
      <c r="C543" s="54" t="s">
        <v>392</v>
      </c>
      <c r="D543" s="92" t="s">
        <v>393</v>
      </c>
      <c r="E543" s="82" t="s">
        <v>27</v>
      </c>
      <c r="F543" s="84">
        <v>16.38</v>
      </c>
      <c r="G543" s="150" t="s">
        <v>1005</v>
      </c>
    </row>
    <row r="544" spans="1:7">
      <c r="A544" s="86" t="s">
        <v>388</v>
      </c>
      <c r="B544" s="82" t="s">
        <v>86</v>
      </c>
      <c r="C544" s="54" t="s">
        <v>396</v>
      </c>
      <c r="D544" s="92" t="s">
        <v>397</v>
      </c>
      <c r="E544" s="82" t="s">
        <v>27</v>
      </c>
      <c r="F544" s="84">
        <v>324.86</v>
      </c>
      <c r="G544" s="150" t="s">
        <v>1004</v>
      </c>
    </row>
    <row r="545" spans="1:7">
      <c r="A545" s="86" t="s">
        <v>391</v>
      </c>
      <c r="B545" s="82" t="s">
        <v>86</v>
      </c>
      <c r="C545" s="54" t="s">
        <v>399</v>
      </c>
      <c r="D545" s="92" t="s">
        <v>400</v>
      </c>
      <c r="E545" s="82" t="s">
        <v>27</v>
      </c>
      <c r="F545" s="84">
        <f>14.23+87.51</f>
        <v>101.74000000000001</v>
      </c>
      <c r="G545" s="150" t="s">
        <v>1003</v>
      </c>
    </row>
    <row r="546" spans="1:7" ht="29.25">
      <c r="A546" s="86" t="s">
        <v>394</v>
      </c>
      <c r="B546" s="82" t="s">
        <v>86</v>
      </c>
      <c r="C546" s="54" t="s">
        <v>402</v>
      </c>
      <c r="D546" s="92" t="s">
        <v>403</v>
      </c>
      <c r="E546" s="82" t="s">
        <v>27</v>
      </c>
      <c r="F546" s="84">
        <f>9.57+28.66</f>
        <v>38.230000000000004</v>
      </c>
      <c r="G546" s="150" t="s">
        <v>1002</v>
      </c>
    </row>
    <row r="547" spans="1:7">
      <c r="A547" s="86" t="s">
        <v>395</v>
      </c>
      <c r="B547" s="82" t="s">
        <v>86</v>
      </c>
      <c r="C547" s="54" t="s">
        <v>408</v>
      </c>
      <c r="D547" s="92" t="s">
        <v>409</v>
      </c>
      <c r="E547" s="82" t="s">
        <v>26</v>
      </c>
      <c r="F547" s="84">
        <f>F549+F550+F551+F552+F538</f>
        <v>15</v>
      </c>
      <c r="G547" s="143" t="s">
        <v>977</v>
      </c>
    </row>
    <row r="548" spans="1:7">
      <c r="A548" s="86" t="s">
        <v>398</v>
      </c>
      <c r="B548" s="82" t="s">
        <v>86</v>
      </c>
      <c r="C548" s="54" t="s">
        <v>411</v>
      </c>
      <c r="D548" s="92" t="s">
        <v>412</v>
      </c>
      <c r="E548" s="82" t="s">
        <v>26</v>
      </c>
      <c r="F548" s="84">
        <v>4</v>
      </c>
      <c r="G548" s="143" t="s">
        <v>978</v>
      </c>
    </row>
    <row r="549" spans="1:7">
      <c r="A549" s="86" t="s">
        <v>401</v>
      </c>
      <c r="B549" s="82" t="s">
        <v>86</v>
      </c>
      <c r="C549" s="54" t="s">
        <v>414</v>
      </c>
      <c r="D549" s="92" t="s">
        <v>415</v>
      </c>
      <c r="E549" s="82" t="s">
        <v>416</v>
      </c>
      <c r="F549" s="84">
        <v>1</v>
      </c>
      <c r="G549" s="143" t="s">
        <v>899</v>
      </c>
    </row>
    <row r="550" spans="1:7">
      <c r="A550" s="86" t="s">
        <v>404</v>
      </c>
      <c r="B550" s="82" t="s">
        <v>86</v>
      </c>
      <c r="C550" s="54" t="s">
        <v>418</v>
      </c>
      <c r="D550" s="92" t="s">
        <v>419</v>
      </c>
      <c r="E550" s="82" t="s">
        <v>416</v>
      </c>
      <c r="F550" s="84">
        <v>3</v>
      </c>
      <c r="G550" s="143" t="s">
        <v>899</v>
      </c>
    </row>
    <row r="551" spans="1:7">
      <c r="A551" s="86" t="s">
        <v>407</v>
      </c>
      <c r="B551" s="82" t="s">
        <v>86</v>
      </c>
      <c r="C551" s="54" t="s">
        <v>424</v>
      </c>
      <c r="D551" s="92" t="s">
        <v>425</v>
      </c>
      <c r="E551" s="82" t="s">
        <v>416</v>
      </c>
      <c r="F551" s="84">
        <v>3</v>
      </c>
      <c r="G551" s="143" t="s">
        <v>797</v>
      </c>
    </row>
    <row r="552" spans="1:7">
      <c r="A552" s="86" t="s">
        <v>410</v>
      </c>
      <c r="B552" s="82" t="s">
        <v>86</v>
      </c>
      <c r="C552" s="54" t="s">
        <v>427</v>
      </c>
      <c r="D552" s="92" t="s">
        <v>428</v>
      </c>
      <c r="E552" s="82" t="s">
        <v>416</v>
      </c>
      <c r="F552" s="84">
        <v>3</v>
      </c>
      <c r="G552" s="143" t="s">
        <v>979</v>
      </c>
    </row>
    <row r="553" spans="1:7">
      <c r="A553" s="86" t="s">
        <v>413</v>
      </c>
      <c r="B553" s="82" t="s">
        <v>86</v>
      </c>
      <c r="C553" s="54" t="s">
        <v>430</v>
      </c>
      <c r="D553" s="92" t="s">
        <v>431</v>
      </c>
      <c r="E553" s="82" t="s">
        <v>148</v>
      </c>
      <c r="F553" s="84">
        <f>(0.403*3)</f>
        <v>1.2090000000000001</v>
      </c>
      <c r="G553" s="143" t="s">
        <v>799</v>
      </c>
    </row>
    <row r="554" spans="1:7">
      <c r="A554" s="10">
        <v>14</v>
      </c>
      <c r="B554" s="13"/>
      <c r="C554" s="13"/>
      <c r="D554" s="7" t="s">
        <v>647</v>
      </c>
      <c r="E554" s="13"/>
      <c r="F554" s="13"/>
      <c r="G554" s="13"/>
    </row>
    <row r="555" spans="1:7">
      <c r="A555" s="86" t="s">
        <v>436</v>
      </c>
      <c r="B555" s="82" t="s">
        <v>86</v>
      </c>
      <c r="C555" s="112" t="s">
        <v>437</v>
      </c>
      <c r="D555" s="91" t="s">
        <v>438</v>
      </c>
      <c r="E555" s="82" t="s">
        <v>26</v>
      </c>
      <c r="F555" s="82">
        <v>1</v>
      </c>
      <c r="G555" s="143" t="s">
        <v>980</v>
      </c>
    </row>
    <row r="556" spans="1:7">
      <c r="A556" s="86" t="s">
        <v>439</v>
      </c>
      <c r="B556" s="82" t="s">
        <v>86</v>
      </c>
      <c r="C556" s="213" t="s">
        <v>440</v>
      </c>
      <c r="D556" s="91" t="s">
        <v>441</v>
      </c>
      <c r="E556" s="82" t="s">
        <v>27</v>
      </c>
      <c r="F556" s="84">
        <f>3.9+7.2+4.26</f>
        <v>15.36</v>
      </c>
      <c r="G556" s="223" t="s">
        <v>1190</v>
      </c>
    </row>
    <row r="557" spans="1:7">
      <c r="A557" s="86" t="s">
        <v>442</v>
      </c>
      <c r="B557" s="213" t="s">
        <v>86</v>
      </c>
      <c r="C557" s="82" t="s">
        <v>1168</v>
      </c>
      <c r="D557" s="91" t="s">
        <v>1169</v>
      </c>
      <c r="E557" s="213" t="s">
        <v>27</v>
      </c>
      <c r="F557" s="84">
        <f>5.68+2</f>
        <v>7.68</v>
      </c>
      <c r="G557" s="223" t="s">
        <v>1191</v>
      </c>
    </row>
    <row r="558" spans="1:7">
      <c r="A558" s="86" t="s">
        <v>445</v>
      </c>
      <c r="B558" s="82" t="s">
        <v>86</v>
      </c>
      <c r="C558" s="213" t="s">
        <v>648</v>
      </c>
      <c r="D558" s="91" t="s">
        <v>649</v>
      </c>
      <c r="E558" s="82" t="s">
        <v>27</v>
      </c>
      <c r="F558" s="84">
        <f>2+4.43+2+4.43+2+3.55+1.5</f>
        <v>19.91</v>
      </c>
      <c r="G558" s="223" t="s">
        <v>1192</v>
      </c>
    </row>
    <row r="559" spans="1:7" ht="29.25">
      <c r="A559" s="86" t="s">
        <v>447</v>
      </c>
      <c r="B559" s="82" t="s">
        <v>86</v>
      </c>
      <c r="C559" s="222" t="s">
        <v>448</v>
      </c>
      <c r="D559" s="92" t="s">
        <v>1174</v>
      </c>
      <c r="E559" s="82" t="s">
        <v>27</v>
      </c>
      <c r="F559" s="221">
        <f>8.52+5.33+8.52+4.97+5+1.8</f>
        <v>34.139999999999993</v>
      </c>
      <c r="G559" s="223" t="s">
        <v>1193</v>
      </c>
    </row>
    <row r="560" spans="1:7">
      <c r="A560" s="86" t="s">
        <v>450</v>
      </c>
      <c r="B560" s="82" t="s">
        <v>86</v>
      </c>
      <c r="C560" s="82" t="s">
        <v>454</v>
      </c>
      <c r="D560" s="91" t="s">
        <v>455</v>
      </c>
      <c r="E560" s="82" t="s">
        <v>26</v>
      </c>
      <c r="F560" s="84">
        <v>3</v>
      </c>
      <c r="G560" s="223" t="s">
        <v>1194</v>
      </c>
    </row>
    <row r="561" spans="1:7">
      <c r="A561" s="86" t="s">
        <v>453</v>
      </c>
      <c r="B561" s="213" t="s">
        <v>86</v>
      </c>
      <c r="C561" s="82" t="s">
        <v>1172</v>
      </c>
      <c r="D561" s="91" t="s">
        <v>1173</v>
      </c>
      <c r="E561" s="213" t="s">
        <v>26</v>
      </c>
      <c r="F561" s="84">
        <v>1</v>
      </c>
      <c r="G561" s="225" t="s">
        <v>1195</v>
      </c>
    </row>
    <row r="562" spans="1:7">
      <c r="A562" s="86" t="s">
        <v>456</v>
      </c>
      <c r="B562" s="82" t="s">
        <v>86</v>
      </c>
      <c r="C562" s="82" t="s">
        <v>463</v>
      </c>
      <c r="D562" s="91" t="s">
        <v>464</v>
      </c>
      <c r="E562" s="82" t="s">
        <v>26</v>
      </c>
      <c r="F562" s="84">
        <v>1</v>
      </c>
      <c r="G562" s="143" t="s">
        <v>981</v>
      </c>
    </row>
    <row r="563" spans="1:7">
      <c r="A563" s="86" t="s">
        <v>459</v>
      </c>
      <c r="B563" s="82" t="s">
        <v>86</v>
      </c>
      <c r="C563" s="82" t="s">
        <v>650</v>
      </c>
      <c r="D563" s="91" t="s">
        <v>651</v>
      </c>
      <c r="E563" s="82" t="s">
        <v>26</v>
      </c>
      <c r="F563" s="84">
        <v>3</v>
      </c>
      <c r="G563" s="143" t="s">
        <v>982</v>
      </c>
    </row>
    <row r="564" spans="1:7">
      <c r="A564" s="86" t="s">
        <v>462</v>
      </c>
      <c r="B564" s="82" t="s">
        <v>86</v>
      </c>
      <c r="C564" s="82" t="s">
        <v>478</v>
      </c>
      <c r="D564" s="91" t="s">
        <v>479</v>
      </c>
      <c r="E564" s="82" t="s">
        <v>26</v>
      </c>
      <c r="F564" s="84">
        <v>2</v>
      </c>
      <c r="G564" s="143" t="s">
        <v>982</v>
      </c>
    </row>
    <row r="565" spans="1:7" ht="29.25">
      <c r="A565" s="86" t="s">
        <v>465</v>
      </c>
      <c r="B565" s="82" t="s">
        <v>86</v>
      </c>
      <c r="C565" s="213" t="s">
        <v>1170</v>
      </c>
      <c r="D565" s="92" t="s">
        <v>1171</v>
      </c>
      <c r="E565" s="82" t="s">
        <v>26</v>
      </c>
      <c r="F565" s="84">
        <v>1</v>
      </c>
      <c r="G565" s="143" t="s">
        <v>983</v>
      </c>
    </row>
    <row r="566" spans="1:7">
      <c r="A566" s="10">
        <v>15</v>
      </c>
      <c r="B566" s="13"/>
      <c r="C566" s="13"/>
      <c r="D566" s="7" t="s">
        <v>484</v>
      </c>
      <c r="E566" s="13"/>
      <c r="F566" s="13"/>
      <c r="G566" s="13"/>
    </row>
    <row r="567" spans="1:7">
      <c r="A567" s="93" t="s">
        <v>485</v>
      </c>
      <c r="B567" s="82" t="s">
        <v>86</v>
      </c>
      <c r="C567" s="82" t="s">
        <v>489</v>
      </c>
      <c r="D567" s="91" t="s">
        <v>490</v>
      </c>
      <c r="E567" s="82" t="s">
        <v>26</v>
      </c>
      <c r="F567" s="82">
        <v>1</v>
      </c>
      <c r="G567" s="143" t="s">
        <v>984</v>
      </c>
    </row>
    <row r="568" spans="1:7">
      <c r="A568" s="93" t="s">
        <v>488</v>
      </c>
      <c r="B568" s="82" t="s">
        <v>86</v>
      </c>
      <c r="C568" s="82" t="s">
        <v>495</v>
      </c>
      <c r="D568" s="91" t="s">
        <v>496</v>
      </c>
      <c r="E568" s="82" t="s">
        <v>26</v>
      </c>
      <c r="F568" s="82">
        <v>1</v>
      </c>
      <c r="G568" s="143" t="s">
        <v>985</v>
      </c>
    </row>
    <row r="569" spans="1:7" ht="29.25">
      <c r="A569" s="93" t="s">
        <v>491</v>
      </c>
      <c r="B569" s="82" t="s">
        <v>86</v>
      </c>
      <c r="C569" s="82" t="s">
        <v>498</v>
      </c>
      <c r="D569" s="92" t="s">
        <v>499</v>
      </c>
      <c r="E569" s="82" t="s">
        <v>23</v>
      </c>
      <c r="F569" s="84">
        <f>(4*0.25)</f>
        <v>1</v>
      </c>
      <c r="G569" s="143" t="s">
        <v>915</v>
      </c>
    </row>
    <row r="570" spans="1:7" ht="29.25">
      <c r="A570" s="93" t="s">
        <v>494</v>
      </c>
      <c r="B570" s="82" t="s">
        <v>86</v>
      </c>
      <c r="C570" s="82" t="s">
        <v>498</v>
      </c>
      <c r="D570" s="92" t="s">
        <v>499</v>
      </c>
      <c r="E570" s="82" t="s">
        <v>23</v>
      </c>
      <c r="F570" s="84">
        <f>5*0.25</f>
        <v>1.25</v>
      </c>
      <c r="G570" s="143" t="s">
        <v>916</v>
      </c>
    </row>
    <row r="571" spans="1:7">
      <c r="A571" s="10">
        <v>16</v>
      </c>
      <c r="B571" s="13"/>
      <c r="C571" s="13"/>
      <c r="D571" s="7" t="s">
        <v>22</v>
      </c>
      <c r="E571" s="13"/>
      <c r="F571" s="13"/>
      <c r="G571" s="13"/>
    </row>
    <row r="572" spans="1:7">
      <c r="A572" s="86" t="s">
        <v>502</v>
      </c>
      <c r="B572" s="256" t="s">
        <v>86</v>
      </c>
      <c r="C572" s="82" t="s">
        <v>28</v>
      </c>
      <c r="D572" s="81" t="s">
        <v>510</v>
      </c>
      <c r="E572" s="82" t="s">
        <v>23</v>
      </c>
      <c r="F572" s="84">
        <v>92.12</v>
      </c>
      <c r="G572" s="143" t="s">
        <v>920</v>
      </c>
    </row>
    <row r="573" spans="1:7" ht="9" customHeight="1">
      <c r="A573" s="134"/>
      <c r="B573" s="134"/>
      <c r="C573" s="134"/>
      <c r="D573" s="134"/>
      <c r="E573" s="134"/>
      <c r="F573" s="134"/>
      <c r="G573" s="134"/>
    </row>
    <row r="574" spans="1:7" ht="15.75">
      <c r="A574" s="106" t="s">
        <v>686</v>
      </c>
      <c r="B574" s="97"/>
      <c r="C574" s="97"/>
      <c r="D574" s="97" t="s">
        <v>698</v>
      </c>
      <c r="E574" s="97"/>
      <c r="F574" s="97"/>
      <c r="G574" s="97"/>
    </row>
    <row r="575" spans="1:7" ht="9" customHeight="1">
      <c r="A575" s="134"/>
      <c r="B575" s="134"/>
      <c r="C575" s="134"/>
      <c r="D575" s="134"/>
      <c r="E575" s="134"/>
      <c r="F575" s="134"/>
      <c r="G575" s="134"/>
    </row>
    <row r="576" spans="1:7">
      <c r="A576" s="10">
        <v>1</v>
      </c>
      <c r="B576" s="7"/>
      <c r="C576" s="13"/>
      <c r="D576" s="10" t="s">
        <v>1025</v>
      </c>
      <c r="E576" s="13"/>
      <c r="F576" s="171"/>
      <c r="G576" s="171"/>
    </row>
    <row r="577" spans="1:7" ht="29.25">
      <c r="A577" s="226" t="s">
        <v>9</v>
      </c>
      <c r="B577" s="165" t="s">
        <v>86</v>
      </c>
      <c r="C577" s="165" t="s">
        <v>1031</v>
      </c>
      <c r="D577" s="170" t="s">
        <v>1039</v>
      </c>
      <c r="E577" s="165" t="s">
        <v>1040</v>
      </c>
      <c r="F577" s="167">
        <v>12</v>
      </c>
      <c r="G577" s="165" t="s">
        <v>1050</v>
      </c>
    </row>
    <row r="578" spans="1:7">
      <c r="A578" s="10">
        <v>2</v>
      </c>
      <c r="B578" s="10"/>
      <c r="C578" s="13"/>
      <c r="D578" s="10" t="s">
        <v>1026</v>
      </c>
      <c r="E578" s="13"/>
      <c r="F578" s="171"/>
      <c r="G578" s="171"/>
    </row>
    <row r="579" spans="1:7" ht="30" customHeight="1">
      <c r="A579" s="227" t="s">
        <v>14</v>
      </c>
      <c r="B579" s="186" t="s">
        <v>86</v>
      </c>
      <c r="C579" s="165" t="s">
        <v>695</v>
      </c>
      <c r="D579" s="187" t="s">
        <v>696</v>
      </c>
      <c r="E579" s="186" t="s">
        <v>23</v>
      </c>
      <c r="F579" s="167">
        <v>15799</v>
      </c>
      <c r="G579" s="188" t="s">
        <v>1072</v>
      </c>
    </row>
    <row r="580" spans="1:7">
      <c r="A580" s="10">
        <v>3</v>
      </c>
      <c r="B580" s="13"/>
      <c r="C580" s="13"/>
      <c r="D580" s="10" t="s">
        <v>1027</v>
      </c>
      <c r="E580" s="13"/>
      <c r="F580" s="171"/>
      <c r="G580" s="171"/>
    </row>
    <row r="581" spans="1:7">
      <c r="A581" s="226" t="s">
        <v>15</v>
      </c>
      <c r="B581" s="165" t="s">
        <v>86</v>
      </c>
      <c r="C581" s="165" t="s">
        <v>1032</v>
      </c>
      <c r="D581" s="81" t="s">
        <v>1041</v>
      </c>
      <c r="E581" s="165" t="s">
        <v>25</v>
      </c>
      <c r="F581" s="167">
        <v>519.54</v>
      </c>
      <c r="G581" s="165" t="s">
        <v>1051</v>
      </c>
    </row>
    <row r="582" spans="1:7" ht="29.25">
      <c r="A582" s="226" t="s">
        <v>47</v>
      </c>
      <c r="B582" s="165" t="s">
        <v>86</v>
      </c>
      <c r="C582" s="165" t="s">
        <v>1033</v>
      </c>
      <c r="D582" s="170" t="s">
        <v>1042</v>
      </c>
      <c r="E582" s="165" t="s">
        <v>25</v>
      </c>
      <c r="F582" s="167">
        <v>519.54</v>
      </c>
      <c r="G582" s="165" t="s">
        <v>1051</v>
      </c>
    </row>
    <row r="583" spans="1:7">
      <c r="A583" s="10">
        <v>4</v>
      </c>
      <c r="B583" s="13"/>
      <c r="C583" s="13"/>
      <c r="D583" s="10" t="s">
        <v>1028</v>
      </c>
      <c r="E583" s="13"/>
      <c r="F583" s="171"/>
      <c r="G583" s="171"/>
    </row>
    <row r="584" spans="1:7" ht="43.5">
      <c r="A584" s="226" t="s">
        <v>16</v>
      </c>
      <c r="B584" s="165" t="s">
        <v>86</v>
      </c>
      <c r="C584" s="165" t="s">
        <v>1034</v>
      </c>
      <c r="D584" s="170" t="s">
        <v>1043</v>
      </c>
      <c r="E584" s="165" t="s">
        <v>25</v>
      </c>
      <c r="F584" s="167">
        <v>258.39999999999998</v>
      </c>
      <c r="G584" s="165" t="s">
        <v>1052</v>
      </c>
    </row>
    <row r="585" spans="1:7" ht="43.5">
      <c r="A585" s="226" t="s">
        <v>17</v>
      </c>
      <c r="B585" s="165" t="s">
        <v>86</v>
      </c>
      <c r="C585" s="165" t="s">
        <v>1044</v>
      </c>
      <c r="D585" s="170" t="s">
        <v>1045</v>
      </c>
      <c r="E585" s="165" t="s">
        <v>25</v>
      </c>
      <c r="F585" s="167">
        <v>117</v>
      </c>
      <c r="G585" s="165" t="s">
        <v>1055</v>
      </c>
    </row>
    <row r="586" spans="1:7">
      <c r="A586" s="226" t="s">
        <v>93</v>
      </c>
      <c r="B586" s="165" t="s">
        <v>86</v>
      </c>
      <c r="C586" s="165" t="s">
        <v>1035</v>
      </c>
      <c r="D586" s="90" t="s">
        <v>1046</v>
      </c>
      <c r="E586" s="165" t="s">
        <v>23</v>
      </c>
      <c r="F586" s="167">
        <v>460</v>
      </c>
      <c r="G586" s="165" t="s">
        <v>1055</v>
      </c>
    </row>
    <row r="587" spans="1:7">
      <c r="A587" s="10">
        <v>5</v>
      </c>
      <c r="B587" s="13"/>
      <c r="C587" s="13"/>
      <c r="D587" s="10" t="s">
        <v>1029</v>
      </c>
      <c r="E587" s="13"/>
      <c r="F587" s="171"/>
      <c r="G587" s="171"/>
    </row>
    <row r="588" spans="1:7">
      <c r="A588" s="226" t="s">
        <v>18</v>
      </c>
      <c r="B588" s="165" t="s">
        <v>86</v>
      </c>
      <c r="C588" s="165" t="s">
        <v>513</v>
      </c>
      <c r="D588" s="81" t="s">
        <v>514</v>
      </c>
      <c r="E588" s="165" t="s">
        <v>25</v>
      </c>
      <c r="F588" s="167">
        <v>122.63</v>
      </c>
      <c r="G588" s="165" t="s">
        <v>1054</v>
      </c>
    </row>
    <row r="589" spans="1:7" ht="29.25">
      <c r="A589" s="226" t="s">
        <v>52</v>
      </c>
      <c r="B589" s="165" t="s">
        <v>86</v>
      </c>
      <c r="C589" s="165" t="s">
        <v>1036</v>
      </c>
      <c r="D589" s="170" t="s">
        <v>1047</v>
      </c>
      <c r="E589" s="165" t="s">
        <v>25</v>
      </c>
      <c r="F589" s="167">
        <v>122.63</v>
      </c>
      <c r="G589" s="165" t="s">
        <v>1054</v>
      </c>
    </row>
    <row r="590" spans="1:7">
      <c r="A590" s="226" t="s">
        <v>54</v>
      </c>
      <c r="B590" s="165" t="s">
        <v>86</v>
      </c>
      <c r="C590" s="165" t="s">
        <v>1037</v>
      </c>
      <c r="D590" s="81" t="s">
        <v>1048</v>
      </c>
      <c r="E590" s="165" t="s">
        <v>25</v>
      </c>
      <c r="F590" s="167">
        <v>122.63</v>
      </c>
      <c r="G590" s="165" t="s">
        <v>1054</v>
      </c>
    </row>
    <row r="591" spans="1:7">
      <c r="A591" s="10">
        <v>6</v>
      </c>
      <c r="B591" s="13"/>
      <c r="C591" s="13"/>
      <c r="D591" s="10" t="s">
        <v>1030</v>
      </c>
      <c r="E591" s="13"/>
      <c r="F591" s="171"/>
      <c r="G591" s="171"/>
    </row>
    <row r="592" spans="1:7">
      <c r="A592" s="226" t="s">
        <v>62</v>
      </c>
      <c r="B592" s="165" t="s">
        <v>86</v>
      </c>
      <c r="C592" s="165" t="s">
        <v>1038</v>
      </c>
      <c r="D592" s="81" t="s">
        <v>1049</v>
      </c>
      <c r="E592" s="165" t="s">
        <v>23</v>
      </c>
      <c r="F592" s="167">
        <v>2050</v>
      </c>
      <c r="G592" s="165" t="s">
        <v>1053</v>
      </c>
    </row>
    <row r="593" spans="1:7">
      <c r="A593" s="226" t="s">
        <v>64</v>
      </c>
      <c r="B593" s="186" t="s">
        <v>1073</v>
      </c>
      <c r="C593" s="186" t="s">
        <v>1074</v>
      </c>
      <c r="D593" s="81" t="s">
        <v>1075</v>
      </c>
      <c r="E593" s="186" t="s">
        <v>1076</v>
      </c>
      <c r="F593" s="167">
        <v>2.38</v>
      </c>
      <c r="G593" s="186" t="s">
        <v>1077</v>
      </c>
    </row>
    <row r="594" spans="1:7" ht="9" customHeight="1">
      <c r="A594" s="134"/>
      <c r="B594" s="134"/>
      <c r="C594" s="134"/>
      <c r="D594" s="134"/>
      <c r="E594" s="134"/>
      <c r="F594" s="134"/>
      <c r="G594" s="134"/>
    </row>
    <row r="595" spans="1:7" ht="15.75">
      <c r="A595" s="106" t="s">
        <v>688</v>
      </c>
      <c r="B595" s="97"/>
      <c r="C595" s="97"/>
      <c r="D595" s="97" t="s">
        <v>79</v>
      </c>
      <c r="E595" s="97"/>
      <c r="F595" s="97"/>
      <c r="G595" s="97"/>
    </row>
    <row r="596" spans="1:7" ht="9" customHeight="1">
      <c r="A596" s="134"/>
      <c r="B596" s="134"/>
      <c r="C596" s="134"/>
      <c r="D596" s="139"/>
      <c r="E596" s="134"/>
      <c r="F596" s="134"/>
      <c r="G596" s="134"/>
    </row>
    <row r="597" spans="1:7">
      <c r="A597" s="10">
        <v>1</v>
      </c>
      <c r="B597" s="120"/>
      <c r="C597" s="120"/>
      <c r="D597" s="125" t="s">
        <v>986</v>
      </c>
      <c r="E597" s="120"/>
      <c r="F597" s="124"/>
      <c r="G597" s="124"/>
    </row>
    <row r="598" spans="1:7">
      <c r="A598" s="161" t="s">
        <v>9</v>
      </c>
      <c r="B598" s="112" t="s">
        <v>690</v>
      </c>
      <c r="C598" s="112" t="s">
        <v>691</v>
      </c>
      <c r="D598" s="28" t="s">
        <v>692</v>
      </c>
      <c r="E598" s="112" t="s">
        <v>26</v>
      </c>
      <c r="F598" s="116">
        <v>1</v>
      </c>
      <c r="G598" s="185" t="s">
        <v>1069</v>
      </c>
    </row>
    <row r="599" spans="1:7">
      <c r="A599" s="180" t="s">
        <v>10</v>
      </c>
      <c r="B599" s="165" t="s">
        <v>86</v>
      </c>
      <c r="C599" s="181" t="s">
        <v>655</v>
      </c>
      <c r="D599" s="28" t="s">
        <v>656</v>
      </c>
      <c r="E599" s="181" t="s">
        <v>25</v>
      </c>
      <c r="F599" s="116">
        <f>(0.06*210)</f>
        <v>12.6</v>
      </c>
      <c r="G599" s="185" t="s">
        <v>1070</v>
      </c>
    </row>
    <row r="600" spans="1:7">
      <c r="A600" s="180" t="s">
        <v>11</v>
      </c>
      <c r="B600" s="165" t="s">
        <v>86</v>
      </c>
      <c r="C600" s="181" t="s">
        <v>1065</v>
      </c>
      <c r="D600" s="28" t="s">
        <v>1066</v>
      </c>
      <c r="E600" s="181" t="s">
        <v>25</v>
      </c>
      <c r="F600" s="182">
        <f>(0.1*210)</f>
        <v>21</v>
      </c>
      <c r="G600" s="185" t="s">
        <v>1071</v>
      </c>
    </row>
    <row r="601" spans="1:7" ht="9" customHeight="1">
      <c r="A601" s="180"/>
      <c r="B601" s="165"/>
      <c r="C601" s="181"/>
      <c r="D601" s="28"/>
      <c r="E601" s="181"/>
      <c r="F601" s="182"/>
      <c r="G601" s="185"/>
    </row>
    <row r="602" spans="1:7" ht="15.75">
      <c r="A602" s="106" t="s">
        <v>1079</v>
      </c>
      <c r="B602" s="199"/>
      <c r="C602" s="200"/>
      <c r="D602" s="156" t="s">
        <v>1080</v>
      </c>
      <c r="E602" s="200"/>
      <c r="F602" s="201"/>
      <c r="G602" s="202"/>
    </row>
    <row r="603" spans="1:7" ht="9" customHeight="1">
      <c r="A603" s="180"/>
      <c r="B603" s="165"/>
      <c r="C603" s="181"/>
      <c r="D603" s="28"/>
      <c r="E603" s="181"/>
      <c r="F603" s="182"/>
      <c r="G603" s="185"/>
    </row>
    <row r="604" spans="1:7">
      <c r="A604" s="10">
        <v>1</v>
      </c>
      <c r="B604" s="195"/>
      <c r="C604" s="195"/>
      <c r="D604" s="10" t="s">
        <v>1086</v>
      </c>
      <c r="E604" s="195"/>
      <c r="F604" s="195"/>
      <c r="G604" s="202"/>
    </row>
    <row r="605" spans="1:7" ht="29.25">
      <c r="A605" s="190" t="s">
        <v>9</v>
      </c>
      <c r="B605" s="165" t="s">
        <v>86</v>
      </c>
      <c r="C605" s="191" t="s">
        <v>695</v>
      </c>
      <c r="D605" s="193" t="s">
        <v>696</v>
      </c>
      <c r="E605" s="191" t="s">
        <v>23</v>
      </c>
      <c r="F605" s="159">
        <f>(175*7)</f>
        <v>1225</v>
      </c>
      <c r="G605" s="204" t="s">
        <v>1096</v>
      </c>
    </row>
    <row r="606" spans="1:7" ht="29.25">
      <c r="A606" s="190" t="s">
        <v>10</v>
      </c>
      <c r="B606" s="260" t="s">
        <v>86</v>
      </c>
      <c r="C606" s="122" t="s">
        <v>1242</v>
      </c>
      <c r="D606" s="259" t="s">
        <v>1241</v>
      </c>
      <c r="E606" s="261" t="s">
        <v>25</v>
      </c>
      <c r="F606" s="159">
        <f>(175*7*0.3)</f>
        <v>367.5</v>
      </c>
      <c r="G606" s="260" t="s">
        <v>1243</v>
      </c>
    </row>
    <row r="607" spans="1:7" ht="29.25">
      <c r="A607" s="190" t="s">
        <v>11</v>
      </c>
      <c r="B607" s="165" t="s">
        <v>86</v>
      </c>
      <c r="C607" s="122" t="s">
        <v>1239</v>
      </c>
      <c r="D607" s="259" t="s">
        <v>1240</v>
      </c>
      <c r="E607" s="191" t="s">
        <v>25</v>
      </c>
      <c r="F607" s="159">
        <f>(175*7*0.3)</f>
        <v>367.5</v>
      </c>
      <c r="G607" s="260" t="s">
        <v>1243</v>
      </c>
    </row>
    <row r="608" spans="1:7">
      <c r="A608" s="190" t="s">
        <v>12</v>
      </c>
      <c r="B608" s="165" t="s">
        <v>86</v>
      </c>
      <c r="C608" s="122" t="s">
        <v>1082</v>
      </c>
      <c r="D608" s="194" t="s">
        <v>1083</v>
      </c>
      <c r="E608" s="203" t="s">
        <v>25</v>
      </c>
      <c r="F608" s="159">
        <f>(175*7*0.15)</f>
        <v>183.75</v>
      </c>
      <c r="G608" s="204" t="s">
        <v>1097</v>
      </c>
    </row>
    <row r="609" spans="1:8">
      <c r="A609" s="190" t="s">
        <v>1008</v>
      </c>
      <c r="B609" s="165" t="s">
        <v>86</v>
      </c>
      <c r="C609" s="122" t="s">
        <v>1234</v>
      </c>
      <c r="D609" s="123" t="s">
        <v>1235</v>
      </c>
      <c r="E609" s="203" t="s">
        <v>23</v>
      </c>
      <c r="F609" s="159">
        <f>(175*7)</f>
        <v>1225</v>
      </c>
      <c r="G609" s="204" t="s">
        <v>1096</v>
      </c>
    </row>
    <row r="610" spans="1:8">
      <c r="A610" s="190" t="s">
        <v>1009</v>
      </c>
      <c r="B610" s="165" t="s">
        <v>86</v>
      </c>
      <c r="C610" s="122" t="s">
        <v>1259</v>
      </c>
      <c r="D610" s="123" t="s">
        <v>1260</v>
      </c>
      <c r="E610" s="268" t="s">
        <v>23</v>
      </c>
      <c r="F610" s="159">
        <f>(175*7)</f>
        <v>1225</v>
      </c>
      <c r="G610" s="204" t="s">
        <v>1096</v>
      </c>
    </row>
    <row r="611" spans="1:8">
      <c r="A611" s="190" t="s">
        <v>1078</v>
      </c>
      <c r="B611" s="165" t="s">
        <v>86</v>
      </c>
      <c r="C611" s="122" t="s">
        <v>1084</v>
      </c>
      <c r="D611" s="123" t="s">
        <v>1085</v>
      </c>
      <c r="E611" s="191" t="s">
        <v>25</v>
      </c>
      <c r="F611" s="159">
        <f>(175*7*0.05)</f>
        <v>61.25</v>
      </c>
      <c r="G611" s="260" t="s">
        <v>1244</v>
      </c>
      <c r="H611" s="64"/>
    </row>
    <row r="612" spans="1:8">
      <c r="A612" s="190" t="s">
        <v>1081</v>
      </c>
      <c r="B612" s="165" t="s">
        <v>86</v>
      </c>
      <c r="C612" s="122" t="s">
        <v>1088</v>
      </c>
      <c r="D612" s="123" t="s">
        <v>1089</v>
      </c>
      <c r="E612" s="191" t="s">
        <v>27</v>
      </c>
      <c r="F612" s="159">
        <f>(175*2)</f>
        <v>350</v>
      </c>
      <c r="G612" s="256" t="s">
        <v>1236</v>
      </c>
      <c r="H612" s="64"/>
    </row>
    <row r="613" spans="1:8">
      <c r="A613" s="190" t="s">
        <v>1091</v>
      </c>
      <c r="B613" s="165" t="s">
        <v>86</v>
      </c>
      <c r="C613" s="122" t="s">
        <v>1090</v>
      </c>
      <c r="D613" s="123" t="s">
        <v>1092</v>
      </c>
      <c r="E613" s="203" t="s">
        <v>23</v>
      </c>
      <c r="F613" s="159">
        <f>(175*1*2)</f>
        <v>350</v>
      </c>
      <c r="G613" s="256" t="s">
        <v>1236</v>
      </c>
      <c r="H613" s="64"/>
    </row>
    <row r="614" spans="1:8">
      <c r="A614" s="190" t="s">
        <v>1094</v>
      </c>
      <c r="B614" s="204" t="s">
        <v>86</v>
      </c>
      <c r="C614" s="261" t="s">
        <v>1093</v>
      </c>
      <c r="D614" s="123" t="s">
        <v>1095</v>
      </c>
      <c r="E614" s="203" t="s">
        <v>26</v>
      </c>
      <c r="F614" s="159">
        <v>2</v>
      </c>
      <c r="G614" s="260" t="s">
        <v>1245</v>
      </c>
      <c r="H614" s="64"/>
    </row>
    <row r="615" spans="1:8">
      <c r="A615" s="140"/>
      <c r="B615" s="140"/>
      <c r="C615" s="140"/>
      <c r="D615" s="140"/>
      <c r="E615" s="140"/>
      <c r="F615" s="140"/>
      <c r="G615" s="140"/>
      <c r="H615" s="64"/>
    </row>
    <row r="616" spans="1:8">
      <c r="A616" s="140"/>
      <c r="B616" s="140"/>
      <c r="C616" s="140"/>
      <c r="D616" s="140"/>
      <c r="E616" s="140"/>
      <c r="F616" s="140"/>
      <c r="G616" s="140"/>
      <c r="H616" s="64"/>
    </row>
    <row r="617" spans="1:8">
      <c r="A617" s="140"/>
      <c r="B617" s="140"/>
      <c r="C617" s="140"/>
      <c r="D617" s="140"/>
      <c r="E617" s="140"/>
      <c r="F617" s="140"/>
      <c r="G617" s="140"/>
    </row>
    <row r="618" spans="1:8">
      <c r="A618" s="140"/>
      <c r="B618" s="140"/>
      <c r="C618" s="140"/>
      <c r="D618" s="140"/>
      <c r="E618" s="142"/>
      <c r="F618" s="142"/>
      <c r="G618" s="211" t="s">
        <v>29</v>
      </c>
      <c r="H618" s="142"/>
    </row>
    <row r="619" spans="1:8">
      <c r="A619" s="140"/>
      <c r="B619" s="140"/>
      <c r="C619" s="140"/>
      <c r="D619" s="140"/>
      <c r="E619" s="141"/>
      <c r="F619" s="141"/>
      <c r="G619" s="207" t="s">
        <v>30</v>
      </c>
      <c r="H619" s="141"/>
    </row>
    <row r="620" spans="1:8">
      <c r="A620" s="140"/>
      <c r="B620" s="140"/>
      <c r="C620" s="140"/>
      <c r="D620" s="140"/>
      <c r="E620" s="212"/>
      <c r="F620" s="141"/>
      <c r="G620" s="207" t="s">
        <v>1067</v>
      </c>
      <c r="H620" s="141"/>
    </row>
    <row r="621" spans="1:8">
      <c r="A621" s="140"/>
      <c r="B621" s="140"/>
      <c r="C621" s="140"/>
      <c r="D621" s="140"/>
      <c r="E621" s="140"/>
      <c r="F621" s="140"/>
      <c r="G621" s="140"/>
    </row>
    <row r="622" spans="1:8">
      <c r="A622" s="140"/>
      <c r="B622" s="140"/>
      <c r="C622" s="140"/>
      <c r="D622" s="140"/>
      <c r="E622" s="140"/>
      <c r="F622" s="140"/>
      <c r="G622" s="140"/>
    </row>
    <row r="623" spans="1:8">
      <c r="A623" s="140"/>
      <c r="B623" s="140"/>
      <c r="C623" s="140"/>
      <c r="D623" s="140"/>
      <c r="E623" s="140"/>
      <c r="F623" s="140"/>
      <c r="G623" s="140"/>
    </row>
    <row r="624" spans="1:8">
      <c r="A624" s="140"/>
      <c r="B624" s="140"/>
      <c r="C624" s="140"/>
      <c r="D624" s="140"/>
      <c r="E624" s="140"/>
      <c r="F624" s="140"/>
      <c r="G624" s="140"/>
    </row>
    <row r="625" spans="1:7">
      <c r="A625" s="140"/>
      <c r="B625" s="140"/>
      <c r="C625" s="140"/>
      <c r="D625" s="140"/>
      <c r="E625" s="140"/>
      <c r="F625" s="140"/>
      <c r="G625" s="140"/>
    </row>
    <row r="626" spans="1:7">
      <c r="A626" s="140"/>
      <c r="B626" s="140"/>
      <c r="C626" s="140"/>
      <c r="D626" s="140"/>
      <c r="E626" s="140"/>
      <c r="F626" s="140"/>
      <c r="G626" s="140"/>
    </row>
    <row r="627" spans="1:7">
      <c r="A627" s="140"/>
      <c r="B627" s="140"/>
      <c r="C627" s="140"/>
      <c r="D627" s="140"/>
      <c r="E627" s="140"/>
      <c r="F627" s="140"/>
      <c r="G627" s="140"/>
    </row>
    <row r="628" spans="1:7">
      <c r="A628" s="140"/>
      <c r="B628" s="140"/>
      <c r="C628" s="140"/>
      <c r="D628" s="140"/>
      <c r="E628" s="140"/>
      <c r="F628" s="140"/>
      <c r="G628" s="140"/>
    </row>
    <row r="629" spans="1:7">
      <c r="A629" s="140"/>
      <c r="B629" s="140"/>
      <c r="C629" s="140"/>
      <c r="D629" s="140"/>
      <c r="E629" s="140"/>
      <c r="F629" s="140"/>
      <c r="G629" s="140"/>
    </row>
    <row r="630" spans="1:7">
      <c r="A630" s="140"/>
      <c r="B630" s="140"/>
      <c r="C630" s="140"/>
      <c r="D630" s="140"/>
      <c r="E630" s="140"/>
      <c r="F630" s="140"/>
      <c r="G630" s="140"/>
    </row>
    <row r="631" spans="1:7">
      <c r="A631" s="140"/>
      <c r="B631" s="140"/>
      <c r="C631" s="140"/>
      <c r="D631" s="140"/>
      <c r="E631" s="140"/>
      <c r="F631" s="140"/>
      <c r="G631" s="140"/>
    </row>
    <row r="632" spans="1:7">
      <c r="A632" s="140"/>
      <c r="B632" s="140"/>
      <c r="C632" s="140"/>
      <c r="D632" s="140"/>
      <c r="E632" s="140"/>
      <c r="F632" s="140"/>
      <c r="G632" s="140"/>
    </row>
    <row r="633" spans="1:7">
      <c r="A633" s="140"/>
      <c r="B633" s="140"/>
      <c r="C633" s="140"/>
      <c r="D633" s="140"/>
      <c r="E633" s="140"/>
      <c r="F633" s="140"/>
      <c r="G633" s="140"/>
    </row>
    <row r="634" spans="1:7">
      <c r="A634" s="140"/>
      <c r="B634" s="140"/>
      <c r="C634" s="140"/>
      <c r="D634" s="140"/>
      <c r="E634" s="140"/>
      <c r="F634" s="140"/>
      <c r="G634" s="140"/>
    </row>
    <row r="635" spans="1:7">
      <c r="A635" s="140"/>
      <c r="B635" s="140"/>
      <c r="C635" s="140"/>
      <c r="D635" s="140"/>
      <c r="E635" s="140"/>
      <c r="F635" s="140"/>
      <c r="G635" s="140"/>
    </row>
    <row r="636" spans="1:7">
      <c r="A636" s="140"/>
      <c r="B636" s="140"/>
      <c r="C636" s="140"/>
      <c r="D636" s="140"/>
      <c r="E636" s="140"/>
      <c r="F636" s="140"/>
      <c r="G636" s="140"/>
    </row>
    <row r="637" spans="1:7">
      <c r="A637" s="140"/>
      <c r="B637" s="140"/>
      <c r="C637" s="140"/>
      <c r="D637" s="140"/>
      <c r="E637" s="140"/>
      <c r="F637" s="140"/>
      <c r="G637" s="140"/>
    </row>
    <row r="638" spans="1:7">
      <c r="A638" s="140"/>
      <c r="B638" s="140"/>
      <c r="C638" s="140"/>
      <c r="D638" s="140"/>
      <c r="E638" s="140"/>
      <c r="F638" s="140"/>
      <c r="G638" s="140"/>
    </row>
    <row r="639" spans="1:7">
      <c r="A639" s="140"/>
      <c r="B639" s="140"/>
      <c r="C639" s="140"/>
      <c r="D639" s="140"/>
      <c r="E639" s="140"/>
      <c r="F639" s="140"/>
      <c r="G639" s="140"/>
    </row>
    <row r="640" spans="1:7">
      <c r="A640" s="140"/>
      <c r="B640" s="140"/>
      <c r="C640" s="140"/>
      <c r="D640" s="140"/>
      <c r="E640" s="140"/>
      <c r="F640" s="140"/>
      <c r="G640" s="140"/>
    </row>
    <row r="641" spans="1:7">
      <c r="A641" s="140"/>
      <c r="B641" s="140"/>
      <c r="C641" s="140"/>
      <c r="D641" s="140"/>
      <c r="E641" s="140"/>
      <c r="F641" s="140"/>
      <c r="G641" s="140"/>
    </row>
    <row r="642" spans="1:7">
      <c r="A642" s="140"/>
      <c r="B642" s="140"/>
      <c r="C642" s="140"/>
      <c r="D642" s="140"/>
      <c r="E642" s="140"/>
      <c r="F642" s="140"/>
      <c r="G642" s="140"/>
    </row>
    <row r="643" spans="1:7">
      <c r="A643" s="140"/>
      <c r="B643" s="140"/>
      <c r="C643" s="140"/>
      <c r="D643" s="140"/>
      <c r="E643" s="140"/>
      <c r="F643" s="140"/>
      <c r="G643" s="140"/>
    </row>
    <row r="644" spans="1:7">
      <c r="A644" s="140"/>
      <c r="B644" s="140"/>
      <c r="C644" s="140"/>
      <c r="D644" s="140"/>
      <c r="E644" s="140"/>
      <c r="F644" s="140"/>
      <c r="G644" s="140"/>
    </row>
    <row r="645" spans="1:7">
      <c r="A645" s="140"/>
      <c r="B645" s="140"/>
      <c r="C645" s="140"/>
      <c r="D645" s="140"/>
      <c r="E645" s="140"/>
      <c r="F645" s="140"/>
      <c r="G645" s="140"/>
    </row>
    <row r="646" spans="1:7">
      <c r="A646" s="140"/>
      <c r="B646" s="140"/>
      <c r="C646" s="140"/>
      <c r="D646" s="140"/>
      <c r="E646" s="140"/>
      <c r="F646" s="140"/>
      <c r="G646" s="140"/>
    </row>
    <row r="647" spans="1:7">
      <c r="A647" s="140"/>
      <c r="B647" s="140"/>
      <c r="C647" s="140"/>
      <c r="D647" s="140"/>
      <c r="E647" s="140"/>
      <c r="F647" s="140"/>
      <c r="G647" s="140"/>
    </row>
    <row r="648" spans="1:7">
      <c r="A648" s="140"/>
      <c r="B648" s="140"/>
      <c r="C648" s="140"/>
      <c r="D648" s="140"/>
      <c r="E648" s="140"/>
      <c r="F648" s="140"/>
      <c r="G648" s="140"/>
    </row>
    <row r="649" spans="1:7">
      <c r="A649" s="140"/>
      <c r="B649" s="140"/>
      <c r="C649" s="140"/>
      <c r="D649" s="140"/>
      <c r="E649" s="140"/>
      <c r="F649" s="140"/>
      <c r="G649" s="140"/>
    </row>
    <row r="650" spans="1:7">
      <c r="A650" s="140"/>
      <c r="B650" s="140"/>
      <c r="C650" s="140"/>
      <c r="D650" s="140"/>
      <c r="E650" s="140"/>
      <c r="F650" s="140"/>
      <c r="G650" s="140"/>
    </row>
    <row r="651" spans="1:7">
      <c r="A651" s="140"/>
      <c r="B651" s="140"/>
      <c r="C651" s="140"/>
      <c r="D651" s="140"/>
      <c r="E651" s="140"/>
      <c r="F651" s="140"/>
      <c r="G651" s="140"/>
    </row>
    <row r="652" spans="1:7">
      <c r="A652" s="140"/>
      <c r="B652" s="140"/>
      <c r="C652" s="140"/>
      <c r="D652" s="140"/>
      <c r="E652" s="140"/>
      <c r="F652" s="140"/>
      <c r="G652" s="140"/>
    </row>
    <row r="653" spans="1:7">
      <c r="A653" s="140"/>
      <c r="B653" s="140"/>
      <c r="C653" s="140"/>
      <c r="D653" s="140"/>
      <c r="E653" s="140"/>
      <c r="F653" s="140"/>
      <c r="G653" s="140"/>
    </row>
    <row r="654" spans="1:7">
      <c r="A654" s="140"/>
      <c r="B654" s="140"/>
      <c r="C654" s="140"/>
      <c r="D654" s="140"/>
      <c r="E654" s="140"/>
      <c r="F654" s="140"/>
      <c r="G654" s="140"/>
    </row>
    <row r="655" spans="1:7">
      <c r="A655" s="140"/>
      <c r="B655" s="140"/>
      <c r="C655" s="140"/>
      <c r="D655" s="140"/>
      <c r="E655" s="140"/>
      <c r="F655" s="140"/>
      <c r="G655" s="140"/>
    </row>
    <row r="656" spans="1:7">
      <c r="A656" s="140"/>
      <c r="B656" s="140"/>
      <c r="C656" s="140"/>
      <c r="D656" s="140"/>
      <c r="E656" s="140"/>
      <c r="F656" s="140"/>
      <c r="G656" s="140"/>
    </row>
    <row r="657" spans="1:7">
      <c r="A657" s="140"/>
      <c r="B657" s="140"/>
      <c r="C657" s="140"/>
      <c r="D657" s="140"/>
      <c r="E657" s="140"/>
      <c r="F657" s="140"/>
      <c r="G657" s="140"/>
    </row>
    <row r="658" spans="1:7">
      <c r="A658" s="140"/>
      <c r="B658" s="140"/>
      <c r="C658" s="140"/>
      <c r="D658" s="140"/>
      <c r="E658" s="140"/>
      <c r="F658" s="140"/>
      <c r="G658" s="140"/>
    </row>
    <row r="659" spans="1:7">
      <c r="A659" s="140"/>
      <c r="B659" s="140"/>
      <c r="C659" s="140"/>
      <c r="D659" s="140"/>
      <c r="E659" s="140"/>
      <c r="F659" s="140"/>
      <c r="G659" s="140"/>
    </row>
    <row r="660" spans="1:7">
      <c r="A660" s="140"/>
      <c r="B660" s="140"/>
      <c r="C660" s="140"/>
      <c r="D660" s="140"/>
      <c r="E660" s="140"/>
      <c r="F660" s="140"/>
      <c r="G660" s="140"/>
    </row>
    <row r="661" spans="1:7">
      <c r="A661" s="140"/>
      <c r="B661" s="140"/>
      <c r="C661" s="140"/>
      <c r="D661" s="140"/>
      <c r="E661" s="140"/>
      <c r="F661" s="140"/>
      <c r="G661" s="140"/>
    </row>
    <row r="662" spans="1:7">
      <c r="A662" s="140"/>
      <c r="B662" s="140"/>
      <c r="C662" s="140"/>
      <c r="D662" s="140"/>
      <c r="E662" s="140"/>
      <c r="F662" s="140"/>
      <c r="G662" s="140"/>
    </row>
    <row r="663" spans="1:7">
      <c r="A663" s="140"/>
      <c r="B663" s="140"/>
      <c r="C663" s="140"/>
      <c r="D663" s="140"/>
      <c r="E663" s="140"/>
      <c r="F663" s="140"/>
      <c r="G663" s="140"/>
    </row>
    <row r="664" spans="1:7">
      <c r="A664" s="140"/>
      <c r="B664" s="140"/>
      <c r="C664" s="140"/>
      <c r="D664" s="140"/>
      <c r="E664" s="140"/>
      <c r="F664" s="140"/>
      <c r="G664" s="140"/>
    </row>
    <row r="665" spans="1:7">
      <c r="A665" s="140"/>
      <c r="B665" s="140"/>
      <c r="C665" s="140"/>
      <c r="D665" s="140"/>
      <c r="E665" s="140"/>
      <c r="F665" s="140"/>
      <c r="G665" s="140"/>
    </row>
    <row r="666" spans="1:7">
      <c r="A666" s="140"/>
      <c r="B666" s="140"/>
      <c r="C666" s="140"/>
      <c r="D666" s="140"/>
      <c r="E666" s="140"/>
      <c r="F666" s="140"/>
      <c r="G666" s="140"/>
    </row>
    <row r="667" spans="1:7">
      <c r="A667" s="140"/>
      <c r="B667" s="140"/>
      <c r="C667" s="140"/>
      <c r="D667" s="140"/>
      <c r="E667" s="140"/>
      <c r="F667" s="140"/>
      <c r="G667" s="140"/>
    </row>
    <row r="668" spans="1:7">
      <c r="A668" s="140"/>
      <c r="B668" s="140"/>
      <c r="C668" s="140"/>
      <c r="D668" s="140"/>
      <c r="E668" s="140"/>
      <c r="F668" s="140"/>
      <c r="G668" s="140"/>
    </row>
    <row r="669" spans="1:7">
      <c r="A669" s="140"/>
      <c r="B669" s="140"/>
      <c r="C669" s="140"/>
      <c r="D669" s="140"/>
      <c r="E669" s="140"/>
      <c r="F669" s="140"/>
      <c r="G669" s="140"/>
    </row>
    <row r="670" spans="1:7">
      <c r="A670" s="140"/>
      <c r="B670" s="140"/>
      <c r="C670" s="140"/>
      <c r="D670" s="140"/>
      <c r="E670" s="140"/>
      <c r="F670" s="140"/>
      <c r="G670" s="140"/>
    </row>
    <row r="671" spans="1:7">
      <c r="A671" s="140"/>
      <c r="B671" s="140"/>
      <c r="C671" s="140"/>
      <c r="D671" s="140"/>
      <c r="E671" s="140"/>
      <c r="F671" s="140"/>
      <c r="G671" s="140"/>
    </row>
    <row r="672" spans="1:7">
      <c r="A672" s="140"/>
      <c r="B672" s="140"/>
      <c r="C672" s="140"/>
      <c r="D672" s="140"/>
      <c r="E672" s="140"/>
      <c r="F672" s="140"/>
      <c r="G672" s="140"/>
    </row>
    <row r="673" spans="1:7">
      <c r="A673" s="140"/>
      <c r="B673" s="140"/>
      <c r="C673" s="140"/>
      <c r="D673" s="140"/>
      <c r="E673" s="140"/>
      <c r="F673" s="140"/>
      <c r="G673" s="140"/>
    </row>
    <row r="674" spans="1:7">
      <c r="A674" s="140"/>
      <c r="B674" s="140"/>
      <c r="C674" s="140"/>
      <c r="D674" s="140"/>
      <c r="E674" s="140"/>
      <c r="F674" s="140"/>
      <c r="G674" s="140"/>
    </row>
    <row r="675" spans="1:7">
      <c r="A675" s="140"/>
      <c r="B675" s="140"/>
      <c r="C675" s="140"/>
      <c r="D675" s="140"/>
      <c r="E675" s="140"/>
      <c r="F675" s="140"/>
      <c r="G675" s="140"/>
    </row>
    <row r="676" spans="1:7">
      <c r="A676" s="140"/>
      <c r="B676" s="140"/>
      <c r="C676" s="140"/>
      <c r="D676" s="140"/>
      <c r="E676" s="140"/>
      <c r="F676" s="140"/>
      <c r="G676" s="140"/>
    </row>
    <row r="677" spans="1:7">
      <c r="A677" s="140"/>
      <c r="B677" s="140"/>
      <c r="C677" s="140"/>
      <c r="D677" s="140"/>
      <c r="E677" s="140"/>
      <c r="F677" s="140"/>
      <c r="G677" s="140"/>
    </row>
    <row r="678" spans="1:7">
      <c r="A678" s="140"/>
      <c r="B678" s="140"/>
      <c r="C678" s="140"/>
      <c r="D678" s="140"/>
      <c r="E678" s="140"/>
      <c r="F678" s="140"/>
      <c r="G678" s="140"/>
    </row>
    <row r="679" spans="1:7">
      <c r="A679" s="140"/>
      <c r="B679" s="140"/>
      <c r="C679" s="140"/>
      <c r="D679" s="140"/>
      <c r="E679" s="140"/>
      <c r="F679" s="140"/>
      <c r="G679" s="140"/>
    </row>
    <row r="680" spans="1:7">
      <c r="A680" s="140"/>
      <c r="B680" s="140"/>
      <c r="C680" s="140"/>
      <c r="D680" s="140"/>
      <c r="E680" s="140"/>
      <c r="F680" s="140"/>
      <c r="G680" s="140"/>
    </row>
    <row r="681" spans="1:7">
      <c r="A681" s="140"/>
      <c r="B681" s="140"/>
      <c r="C681" s="140"/>
      <c r="D681" s="140"/>
      <c r="E681" s="140"/>
      <c r="F681" s="140"/>
      <c r="G681" s="140"/>
    </row>
    <row r="682" spans="1:7">
      <c r="A682" s="140"/>
      <c r="B682" s="140"/>
      <c r="C682" s="140"/>
      <c r="D682" s="140"/>
      <c r="E682" s="140"/>
      <c r="F682" s="140"/>
      <c r="G682" s="140"/>
    </row>
    <row r="683" spans="1:7">
      <c r="A683" s="140"/>
      <c r="B683" s="140"/>
      <c r="C683" s="140"/>
      <c r="D683" s="140"/>
      <c r="E683" s="140"/>
      <c r="F683" s="140"/>
      <c r="G683" s="140"/>
    </row>
    <row r="684" spans="1:7">
      <c r="A684" s="140"/>
      <c r="B684" s="140"/>
      <c r="C684" s="140"/>
      <c r="D684" s="140"/>
      <c r="E684" s="140"/>
      <c r="F684" s="140"/>
      <c r="G684" s="140"/>
    </row>
    <row r="685" spans="1:7">
      <c r="A685" s="140"/>
      <c r="B685" s="140"/>
      <c r="C685" s="140"/>
      <c r="D685" s="140"/>
      <c r="E685" s="140"/>
      <c r="F685" s="140"/>
      <c r="G685" s="140"/>
    </row>
    <row r="686" spans="1:7">
      <c r="A686" s="140"/>
      <c r="B686" s="140"/>
      <c r="C686" s="140"/>
      <c r="D686" s="140"/>
      <c r="E686" s="140"/>
      <c r="F686" s="140"/>
      <c r="G686" s="140"/>
    </row>
    <row r="687" spans="1:7">
      <c r="A687" s="140"/>
      <c r="B687" s="140"/>
      <c r="C687" s="140"/>
      <c r="D687" s="140"/>
      <c r="E687" s="140"/>
      <c r="F687" s="140"/>
      <c r="G687" s="140"/>
    </row>
    <row r="688" spans="1:7">
      <c r="A688" s="140"/>
      <c r="B688" s="140"/>
      <c r="C688" s="140"/>
      <c r="D688" s="140"/>
      <c r="E688" s="140"/>
      <c r="F688" s="140"/>
      <c r="G688" s="140"/>
    </row>
    <row r="689" spans="1:7">
      <c r="A689" s="140"/>
      <c r="B689" s="140"/>
      <c r="C689" s="140"/>
      <c r="D689" s="140"/>
      <c r="E689" s="140"/>
      <c r="F689" s="140"/>
      <c r="G689" s="140"/>
    </row>
    <row r="690" spans="1:7">
      <c r="A690" s="140"/>
      <c r="B690" s="140"/>
      <c r="C690" s="140"/>
      <c r="D690" s="140"/>
      <c r="E690" s="140"/>
      <c r="F690" s="140"/>
      <c r="G690" s="140"/>
    </row>
    <row r="691" spans="1:7">
      <c r="A691" s="140"/>
      <c r="B691" s="140"/>
      <c r="C691" s="140"/>
      <c r="D691" s="140"/>
      <c r="E691" s="140"/>
      <c r="F691" s="140"/>
      <c r="G691" s="140"/>
    </row>
    <row r="692" spans="1:7">
      <c r="A692" s="140"/>
      <c r="B692" s="140"/>
      <c r="C692" s="140"/>
      <c r="D692" s="140"/>
      <c r="E692" s="140"/>
      <c r="F692" s="140"/>
      <c r="G692" s="140"/>
    </row>
    <row r="693" spans="1:7">
      <c r="A693" s="140"/>
      <c r="B693" s="140"/>
      <c r="C693" s="140"/>
      <c r="D693" s="140"/>
      <c r="E693" s="140"/>
      <c r="F693" s="140"/>
      <c r="G693" s="140"/>
    </row>
    <row r="694" spans="1:7">
      <c r="A694" s="140"/>
      <c r="B694" s="140"/>
      <c r="C694" s="140"/>
      <c r="D694" s="140"/>
      <c r="E694" s="140"/>
      <c r="F694" s="140"/>
      <c r="G694" s="140"/>
    </row>
    <row r="695" spans="1:7">
      <c r="A695" s="140"/>
      <c r="B695" s="140"/>
      <c r="C695" s="140"/>
      <c r="D695" s="140"/>
      <c r="E695" s="140"/>
      <c r="F695" s="140"/>
      <c r="G695" s="140"/>
    </row>
    <row r="696" spans="1:7">
      <c r="A696" s="140"/>
      <c r="B696" s="140"/>
      <c r="C696" s="140"/>
      <c r="D696" s="140"/>
      <c r="E696" s="140"/>
      <c r="F696" s="140"/>
      <c r="G696" s="140"/>
    </row>
    <row r="697" spans="1:7">
      <c r="A697" s="140"/>
      <c r="B697" s="140"/>
      <c r="C697" s="140"/>
      <c r="D697" s="140"/>
      <c r="E697" s="140"/>
      <c r="F697" s="140"/>
      <c r="G697" s="140"/>
    </row>
    <row r="698" spans="1:7">
      <c r="A698" s="140"/>
      <c r="B698" s="140"/>
      <c r="C698" s="140"/>
      <c r="D698" s="140"/>
      <c r="E698" s="140"/>
      <c r="F698" s="140"/>
      <c r="G698" s="140"/>
    </row>
    <row r="699" spans="1:7">
      <c r="A699" s="140"/>
      <c r="B699" s="140"/>
      <c r="C699" s="140"/>
      <c r="D699" s="140"/>
      <c r="E699" s="140"/>
      <c r="F699" s="140"/>
      <c r="G699" s="140"/>
    </row>
    <row r="700" spans="1:7">
      <c r="A700" s="140"/>
      <c r="B700" s="140"/>
      <c r="C700" s="140"/>
      <c r="D700" s="140"/>
      <c r="E700" s="140"/>
      <c r="F700" s="140"/>
      <c r="G700" s="140"/>
    </row>
    <row r="701" spans="1:7">
      <c r="A701" s="140"/>
      <c r="B701" s="140"/>
      <c r="C701" s="140"/>
      <c r="D701" s="140"/>
      <c r="E701" s="140"/>
      <c r="F701" s="140"/>
      <c r="G701" s="140"/>
    </row>
    <row r="702" spans="1:7">
      <c r="A702" s="140"/>
      <c r="B702" s="140"/>
      <c r="C702" s="140"/>
      <c r="D702" s="140"/>
      <c r="E702" s="140"/>
      <c r="F702" s="140"/>
      <c r="G702" s="140"/>
    </row>
    <row r="703" spans="1:7">
      <c r="A703" s="140"/>
      <c r="B703" s="140"/>
      <c r="C703" s="140"/>
      <c r="D703" s="140"/>
      <c r="E703" s="140"/>
      <c r="F703" s="140"/>
      <c r="G703" s="140"/>
    </row>
    <row r="704" spans="1:7">
      <c r="A704" s="140"/>
      <c r="B704" s="140"/>
      <c r="C704" s="140"/>
      <c r="D704" s="140"/>
      <c r="E704" s="140"/>
      <c r="F704" s="140"/>
      <c r="G704" s="140"/>
    </row>
    <row r="705" spans="1:7">
      <c r="A705" s="140"/>
      <c r="B705" s="140"/>
      <c r="C705" s="140"/>
      <c r="D705" s="140"/>
      <c r="E705" s="140"/>
      <c r="F705" s="140"/>
      <c r="G705" s="140"/>
    </row>
    <row r="706" spans="1:7">
      <c r="A706" s="140"/>
      <c r="B706" s="140"/>
      <c r="C706" s="140"/>
      <c r="D706" s="140"/>
      <c r="E706" s="140"/>
      <c r="F706" s="140"/>
      <c r="G706" s="140"/>
    </row>
    <row r="707" spans="1:7">
      <c r="A707" s="140"/>
      <c r="B707" s="140"/>
      <c r="C707" s="140"/>
      <c r="D707" s="140"/>
      <c r="E707" s="140"/>
      <c r="F707" s="140"/>
      <c r="G707" s="140"/>
    </row>
    <row r="708" spans="1:7">
      <c r="A708" s="140"/>
      <c r="B708" s="140"/>
      <c r="C708" s="140"/>
      <c r="D708" s="140"/>
      <c r="E708" s="140"/>
      <c r="F708" s="140"/>
      <c r="G708" s="140"/>
    </row>
    <row r="709" spans="1:7">
      <c r="A709" s="140"/>
      <c r="B709" s="140"/>
      <c r="C709" s="140"/>
      <c r="D709" s="140"/>
      <c r="E709" s="140"/>
      <c r="F709" s="140"/>
      <c r="G709" s="140"/>
    </row>
    <row r="710" spans="1:7">
      <c r="A710" s="140"/>
      <c r="B710" s="140"/>
      <c r="C710" s="140"/>
      <c r="D710" s="140"/>
      <c r="E710" s="140"/>
      <c r="F710" s="140"/>
      <c r="G710" s="140"/>
    </row>
    <row r="711" spans="1:7">
      <c r="A711" s="140"/>
      <c r="B711" s="140"/>
      <c r="C711" s="140"/>
      <c r="D711" s="140"/>
      <c r="E711" s="140"/>
      <c r="F711" s="140"/>
      <c r="G711" s="140"/>
    </row>
    <row r="712" spans="1:7">
      <c r="A712" s="140"/>
      <c r="B712" s="140"/>
      <c r="C712" s="140"/>
      <c r="D712" s="140"/>
      <c r="E712" s="140"/>
      <c r="F712" s="140"/>
      <c r="G712" s="140"/>
    </row>
    <row r="713" spans="1:7">
      <c r="A713" s="140"/>
      <c r="B713" s="140"/>
      <c r="C713" s="140"/>
      <c r="D713" s="140"/>
      <c r="E713" s="140"/>
      <c r="F713" s="140"/>
      <c r="G713" s="140"/>
    </row>
    <row r="714" spans="1:7">
      <c r="A714" s="140"/>
      <c r="B714" s="140"/>
      <c r="C714" s="140"/>
      <c r="D714" s="140"/>
      <c r="E714" s="140"/>
      <c r="F714" s="140"/>
      <c r="G714" s="140"/>
    </row>
    <row r="715" spans="1:7">
      <c r="A715" s="140"/>
      <c r="B715" s="140"/>
      <c r="C715" s="140"/>
      <c r="D715" s="140"/>
      <c r="E715" s="140"/>
      <c r="F715" s="140"/>
      <c r="G715" s="140"/>
    </row>
    <row r="716" spans="1:7">
      <c r="A716" s="140"/>
      <c r="B716" s="140"/>
      <c r="C716" s="140"/>
      <c r="D716" s="140"/>
      <c r="E716" s="140"/>
      <c r="F716" s="140"/>
      <c r="G716" s="140"/>
    </row>
    <row r="717" spans="1:7">
      <c r="A717" s="140"/>
      <c r="B717" s="140"/>
      <c r="C717" s="140"/>
      <c r="D717" s="140"/>
      <c r="E717" s="140"/>
      <c r="F717" s="140"/>
      <c r="G717" s="140"/>
    </row>
    <row r="718" spans="1:7">
      <c r="A718" s="140"/>
      <c r="B718" s="140"/>
      <c r="C718" s="140"/>
      <c r="D718" s="140"/>
      <c r="E718" s="140"/>
      <c r="F718" s="140"/>
      <c r="G718" s="140"/>
    </row>
    <row r="719" spans="1:7">
      <c r="A719" s="140"/>
      <c r="B719" s="140"/>
      <c r="C719" s="140"/>
      <c r="D719" s="140"/>
      <c r="E719" s="140"/>
      <c r="F719" s="140"/>
      <c r="G719" s="140"/>
    </row>
    <row r="720" spans="1:7">
      <c r="A720" s="140"/>
      <c r="B720" s="140"/>
      <c r="C720" s="140"/>
      <c r="D720" s="140"/>
      <c r="E720" s="140"/>
      <c r="F720" s="140"/>
      <c r="G720" s="140"/>
    </row>
    <row r="721" spans="1:7">
      <c r="A721" s="140"/>
      <c r="B721" s="140"/>
      <c r="C721" s="140"/>
      <c r="D721" s="140"/>
      <c r="E721" s="140"/>
      <c r="F721" s="140"/>
      <c r="G721" s="140"/>
    </row>
    <row r="722" spans="1:7">
      <c r="A722" s="140"/>
      <c r="B722" s="140"/>
      <c r="C722" s="140"/>
      <c r="D722" s="140"/>
      <c r="E722" s="140"/>
      <c r="F722" s="140"/>
      <c r="G722" s="140"/>
    </row>
    <row r="723" spans="1:7">
      <c r="A723" s="140"/>
      <c r="B723" s="140"/>
      <c r="C723" s="140"/>
      <c r="D723" s="140"/>
      <c r="E723" s="140"/>
      <c r="F723" s="140"/>
      <c r="G723" s="140"/>
    </row>
    <row r="724" spans="1:7">
      <c r="A724" s="140"/>
      <c r="B724" s="140"/>
      <c r="C724" s="140"/>
      <c r="D724" s="140"/>
      <c r="E724" s="140"/>
      <c r="F724" s="140"/>
      <c r="G724" s="140"/>
    </row>
    <row r="725" spans="1:7">
      <c r="A725" s="140"/>
      <c r="B725" s="140"/>
      <c r="C725" s="140"/>
      <c r="D725" s="140"/>
      <c r="E725" s="140"/>
      <c r="F725" s="140"/>
      <c r="G725" s="140"/>
    </row>
    <row r="726" spans="1:7">
      <c r="A726" s="140"/>
      <c r="B726" s="140"/>
      <c r="C726" s="140"/>
      <c r="D726" s="140"/>
      <c r="E726" s="140"/>
      <c r="F726" s="140"/>
      <c r="G726" s="140"/>
    </row>
    <row r="727" spans="1:7">
      <c r="A727" s="140"/>
      <c r="B727" s="140"/>
      <c r="C727" s="140"/>
      <c r="D727" s="140"/>
      <c r="E727" s="140"/>
      <c r="F727" s="140"/>
      <c r="G727" s="140"/>
    </row>
    <row r="728" spans="1:7">
      <c r="A728" s="140"/>
      <c r="B728" s="140"/>
      <c r="C728" s="140"/>
      <c r="D728" s="140"/>
      <c r="E728" s="140"/>
      <c r="F728" s="140"/>
      <c r="G728" s="140"/>
    </row>
    <row r="729" spans="1:7">
      <c r="A729" s="140"/>
      <c r="B729" s="140"/>
      <c r="C729" s="140"/>
      <c r="D729" s="140"/>
      <c r="E729" s="140"/>
      <c r="F729" s="140"/>
      <c r="G729" s="140"/>
    </row>
    <row r="730" spans="1:7">
      <c r="A730" s="140"/>
      <c r="B730" s="140"/>
      <c r="C730" s="140"/>
      <c r="D730" s="140"/>
      <c r="E730" s="140"/>
      <c r="F730" s="140"/>
      <c r="G730" s="140"/>
    </row>
    <row r="731" spans="1:7">
      <c r="A731" s="140"/>
      <c r="B731" s="140"/>
      <c r="C731" s="140"/>
      <c r="D731" s="140"/>
      <c r="E731" s="140"/>
      <c r="F731" s="140"/>
      <c r="G731" s="140"/>
    </row>
    <row r="732" spans="1:7">
      <c r="A732" s="140"/>
      <c r="B732" s="140"/>
      <c r="C732" s="140"/>
      <c r="D732" s="140"/>
      <c r="E732" s="140"/>
      <c r="F732" s="140"/>
      <c r="G732" s="140"/>
    </row>
    <row r="733" spans="1:7">
      <c r="A733" s="140"/>
      <c r="B733" s="140"/>
      <c r="C733" s="140"/>
      <c r="D733" s="140"/>
      <c r="E733" s="140"/>
      <c r="F733" s="140"/>
      <c r="G733" s="140"/>
    </row>
    <row r="734" spans="1:7">
      <c r="A734" s="140"/>
      <c r="B734" s="140"/>
      <c r="C734" s="140"/>
      <c r="D734" s="140"/>
      <c r="E734" s="140"/>
      <c r="F734" s="140"/>
      <c r="G734" s="140"/>
    </row>
    <row r="735" spans="1:7">
      <c r="A735" s="140"/>
      <c r="B735" s="140"/>
      <c r="C735" s="140"/>
      <c r="D735" s="140"/>
      <c r="E735" s="140"/>
      <c r="F735" s="140"/>
      <c r="G735" s="140"/>
    </row>
    <row r="736" spans="1:7">
      <c r="A736" s="140"/>
      <c r="B736" s="140"/>
      <c r="C736" s="140"/>
      <c r="D736" s="140"/>
      <c r="E736" s="140"/>
      <c r="F736" s="140"/>
      <c r="G736" s="140"/>
    </row>
    <row r="737" spans="1:7">
      <c r="A737" s="140"/>
      <c r="B737" s="140"/>
      <c r="C737" s="140"/>
      <c r="D737" s="140"/>
      <c r="E737" s="140"/>
      <c r="F737" s="140"/>
      <c r="G737" s="140"/>
    </row>
    <row r="738" spans="1:7">
      <c r="A738" s="140"/>
      <c r="B738" s="140"/>
      <c r="C738" s="140"/>
      <c r="D738" s="140"/>
      <c r="E738" s="140"/>
      <c r="F738" s="140"/>
      <c r="G738" s="140"/>
    </row>
    <row r="739" spans="1:7">
      <c r="A739" s="140"/>
      <c r="B739" s="140"/>
      <c r="C739" s="140"/>
      <c r="D739" s="140"/>
      <c r="E739" s="140"/>
      <c r="F739" s="140"/>
      <c r="G739" s="140"/>
    </row>
    <row r="740" spans="1:7">
      <c r="A740" s="140"/>
      <c r="B740" s="140"/>
      <c r="C740" s="140"/>
      <c r="D740" s="140"/>
      <c r="E740" s="140"/>
      <c r="F740" s="140"/>
      <c r="G740" s="140"/>
    </row>
    <row r="741" spans="1:7">
      <c r="A741" s="140"/>
      <c r="B741" s="140"/>
      <c r="C741" s="140"/>
      <c r="D741" s="140"/>
      <c r="E741" s="140"/>
      <c r="F741" s="140"/>
      <c r="G741" s="140"/>
    </row>
    <row r="742" spans="1:7">
      <c r="A742" s="140"/>
      <c r="B742" s="140"/>
      <c r="C742" s="140"/>
      <c r="D742" s="140"/>
      <c r="E742" s="140"/>
      <c r="F742" s="140"/>
      <c r="G742" s="140"/>
    </row>
    <row r="743" spans="1:7">
      <c r="A743" s="140"/>
      <c r="B743" s="140"/>
      <c r="C743" s="140"/>
      <c r="D743" s="140"/>
      <c r="E743" s="140"/>
      <c r="F743" s="140"/>
      <c r="G743" s="140"/>
    </row>
    <row r="744" spans="1:7">
      <c r="A744" s="140"/>
      <c r="B744" s="140"/>
      <c r="C744" s="140"/>
      <c r="D744" s="140"/>
      <c r="E744" s="140"/>
      <c r="F744" s="140"/>
      <c r="G744" s="140"/>
    </row>
    <row r="745" spans="1:7">
      <c r="A745" s="140"/>
      <c r="B745" s="140"/>
      <c r="C745" s="140"/>
      <c r="D745" s="140"/>
      <c r="E745" s="140"/>
      <c r="F745" s="140"/>
      <c r="G745" s="140"/>
    </row>
    <row r="746" spans="1:7">
      <c r="A746" s="140"/>
      <c r="B746" s="140"/>
      <c r="C746" s="140"/>
      <c r="D746" s="140"/>
      <c r="E746" s="140"/>
      <c r="F746" s="140"/>
      <c r="G746" s="140"/>
    </row>
    <row r="747" spans="1:7">
      <c r="A747" s="140"/>
      <c r="B747" s="140"/>
      <c r="C747" s="140"/>
      <c r="D747" s="140"/>
      <c r="E747" s="140"/>
      <c r="F747" s="140"/>
      <c r="G747" s="140"/>
    </row>
    <row r="748" spans="1:7">
      <c r="A748" s="140"/>
      <c r="B748" s="140"/>
      <c r="C748" s="140"/>
      <c r="D748" s="140"/>
      <c r="E748" s="140"/>
      <c r="F748" s="140"/>
      <c r="G748" s="140"/>
    </row>
    <row r="749" spans="1:7">
      <c r="A749" s="140"/>
      <c r="B749" s="140"/>
      <c r="C749" s="140"/>
      <c r="D749" s="140"/>
      <c r="E749" s="140"/>
      <c r="F749" s="140"/>
      <c r="G749" s="140"/>
    </row>
    <row r="750" spans="1:7">
      <c r="A750" s="140"/>
      <c r="B750" s="140"/>
      <c r="C750" s="140"/>
      <c r="D750" s="140"/>
      <c r="E750" s="140"/>
      <c r="F750" s="140"/>
      <c r="G750" s="140"/>
    </row>
    <row r="751" spans="1:7">
      <c r="A751" s="140"/>
      <c r="B751" s="140"/>
      <c r="C751" s="140"/>
      <c r="D751" s="140"/>
      <c r="E751" s="140"/>
      <c r="F751" s="140"/>
      <c r="G751" s="140"/>
    </row>
    <row r="752" spans="1:7">
      <c r="A752" s="140"/>
      <c r="B752" s="140"/>
      <c r="C752" s="140"/>
      <c r="D752" s="140"/>
      <c r="E752" s="140"/>
      <c r="F752" s="140"/>
      <c r="G752" s="140"/>
    </row>
    <row r="753" spans="1:7">
      <c r="A753" s="140"/>
      <c r="B753" s="140"/>
      <c r="C753" s="140"/>
      <c r="D753" s="140"/>
      <c r="E753" s="140"/>
      <c r="F753" s="140"/>
      <c r="G753" s="140"/>
    </row>
    <row r="754" spans="1:7">
      <c r="A754" s="140"/>
      <c r="B754" s="140"/>
      <c r="C754" s="140"/>
      <c r="D754" s="140"/>
      <c r="E754" s="140"/>
      <c r="F754" s="140"/>
      <c r="G754" s="140"/>
    </row>
    <row r="755" spans="1:7">
      <c r="A755" s="140"/>
      <c r="B755" s="140"/>
      <c r="C755" s="140"/>
      <c r="D755" s="140"/>
      <c r="E755" s="140"/>
      <c r="F755" s="140"/>
      <c r="G755" s="140"/>
    </row>
    <row r="756" spans="1:7">
      <c r="A756" s="140"/>
      <c r="B756" s="140"/>
      <c r="C756" s="140"/>
      <c r="D756" s="140"/>
      <c r="E756" s="140"/>
      <c r="F756" s="140"/>
      <c r="G756" s="140"/>
    </row>
  </sheetData>
  <mergeCells count="5">
    <mergeCell ref="A1:G7"/>
    <mergeCell ref="A8:G8"/>
    <mergeCell ref="A10:G10"/>
    <mergeCell ref="E14:G14"/>
    <mergeCell ref="B11:G11"/>
  </mergeCells>
  <pageMargins left="0.51181102362204722" right="0.51181102362204722" top="0.78740157480314965" bottom="0.78740157480314965" header="0.31496062992125984" footer="0.31496062992125984"/>
  <pageSetup paperSize="9" scale="62" fitToHeight="0" orientation="landscape" horizontalDpi="0" verticalDpi="0" r:id="rId1"/>
  <headerFooter>
    <oddFooter>&amp;C&amp;"Arial,Normal"&amp;8Prefeitura Municipal da Estância Turística de Paraguaçu Paulista - Rua Polidoro Simões, 533 (sede provisória) CEP 19.700-000Fone: (18)3361-9100 - Fax: (18)3361-1331 – Estância Turística de Paraguaçu Paulista - SP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Planilha Orçamentária</vt:lpstr>
      <vt:lpstr>Memória de Cálculo</vt:lpstr>
      <vt:lpstr>'Memória de Cálculo'!Area_de_impressao</vt:lpstr>
      <vt:lpstr>'Planilha Orçamentária'!Area_de_impressao</vt:lpstr>
      <vt:lpstr>'Memória de Cálculo'!Titulos_de_impressao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Nandex Informática</cp:lastModifiedBy>
  <cp:lastPrinted>2018-06-13T19:54:21Z</cp:lastPrinted>
  <dcterms:created xsi:type="dcterms:W3CDTF">2017-08-30T19:42:29Z</dcterms:created>
  <dcterms:modified xsi:type="dcterms:W3CDTF">2018-08-22T18:35:56Z</dcterms:modified>
</cp:coreProperties>
</file>