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worksheets/_rels/sheet4.xml.rels" ContentType="application/vnd.openxmlformats-package.relationships+xml"/>
  <Override PartName="/xl/worksheets/_rels/sheet5.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9.wmf" ContentType="image/x-wmf"/>
  <Override PartName="/xl/media/image1.wmf" ContentType="image/x-wmf"/>
  <Override PartName="/xl/media/image2.wmf" ContentType="image/x-wmf"/>
  <Override PartName="/xl/media/image3.wmf" ContentType="image/x-wmf"/>
  <Override PartName="/xl/media/image4.wmf" ContentType="image/x-wmf"/>
  <Override PartName="/xl/media/image5.wmf" ContentType="image/x-wmf"/>
  <Override PartName="/xl/media/image6.wmf" ContentType="image/x-wmf"/>
  <Override PartName="/xl/media/image7.wmf" ContentType="image/x-wmf"/>
  <Override PartName="/xl/media/image8.wmf" ContentType="image/x-wmf"/>
  <Override PartName="/xl/media/image10.wmf" ContentType="image/x-wmf"/>
  <Override PartName="/xl/media/image11.wmf" ContentType="image/x-wmf"/>
  <Override PartName="/xl/media/image12.wmf" ContentType="image/x-wmf"/>
  <Override PartName="/xl/media/image13.wmf" ContentType="image/x-wmf"/>
  <Override PartName="/xl/media/image14.wmf" ContentType="image/x-wmf"/>
  <Override PartName="/xl/media/image15.wmf" ContentType="image/x-wmf"/>
  <Override PartName="/xl/media/image16.wmf" ContentType="image/x-wmf"/>
  <Override PartName="/xl/media/image17.wmf" ContentType="image/x-wmf"/>
  <Override PartName="/xl/media/image18.wmf" ContentType="image/x-wmf"/>
  <Override PartName="/xl/media/image19.wmf" ContentType="image/x-wmf"/>
  <Override PartName="/xl/media/image20.wmf" ContentType="image/x-wmf"/>
  <Override PartName="/xl/media/image21.wmf" ContentType="image/x-wmf"/>
  <Override PartName="/xl/media/image22.wmf" ContentType="image/x-wmf"/>
  <Override PartName="/xl/media/image23.wmf" ContentType="image/x-wmf"/>
  <Override PartName="/xl/media/image24.wmf" ContentType="image/x-wmf"/>
  <Override PartName="/xl/media/image25.wmf" ContentType="image/x-wmf"/>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_rels/drawing2.xml.rels" ContentType="application/vnd.openxmlformats-package.relationships+xml"/>
  <Override PartName="/xl/drawings/_rels/drawing3.xml.rels" ContentType="application/vnd.openxmlformats-package.relationships+xml"/>
  <Override PartName="/xl/drawings/_rels/drawing4.xml.rels" ContentType="application/vnd.openxmlformats-package.relationships+xml"/>
  <Override PartName="/xl/drawings/_rels/drawing5.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1" activeTab="1"/>
  </bookViews>
  <sheets>
    <sheet name="DADOS" sheetId="1" state="hidden" r:id="rId2"/>
    <sheet name="BDI (1)" sheetId="2" state="visible" r:id="rId3"/>
    <sheet name="PO" sheetId="3" state="hidden" r:id="rId4"/>
    <sheet name="PLQ" sheetId="4" state="hidden" r:id="rId5"/>
    <sheet name="CFF" sheetId="5" state="hidden" r:id="rId6"/>
  </sheets>
  <definedNames>
    <definedName function="false" hidden="false" localSheetId="1" name="_xlnm.Print_Area" vbProcedure="false">'BDI (1)'!$I$1:$R$50</definedName>
    <definedName function="false" hidden="false" localSheetId="4" name="_xlnm.Print_Area" vbProcedure="false">CFF!$L$1:$X$27</definedName>
    <definedName function="false" hidden="false" localSheetId="4" name="_xlnm.Print_Titles" vbProcedure="false">CFF!$L:$O;CFF!$10:$10</definedName>
    <definedName function="false" hidden="false" localSheetId="0" name="_xlnm.Print_Area" vbProcedure="false">DADOS!$A$1:$X$87</definedName>
    <definedName function="false" hidden="false" localSheetId="3" name="_xlnm.Print_Area" vbProcedure="false">PLQ!$B$1:$P$37</definedName>
    <definedName function="false" hidden="false" localSheetId="3" name="_xlnm.Print_Titles" vbProcedure="false">PLQ!$B:$E;PLQ!$9:$10</definedName>
    <definedName function="false" hidden="false" localSheetId="2" name="_xlnm.Print_Area" vbProcedure="false">PO!$K$1:$T$46</definedName>
    <definedName function="false" hidden="false" localSheetId="2" name="_xlnm.Print_Titles" vbProcedure="false">PO!$10:$10</definedName>
    <definedName function="false" hidden="false" name="CFF.ColunaPadrão" vbProcedure="false">CFF!$AC:$AC</definedName>
    <definedName function="false" hidden="false" name="CFF.Colunas" vbProcedure="false">CFF!$P$10:$X$10</definedName>
    <definedName function="false" hidden="false" name="CFF.Dados" vbProcedure="false">OFFSET(CFF!$L$17,1,0):OFFSET(CFF!$X$21,-1,-1)</definedName>
    <definedName function="false" hidden="false" name="CFF.IncluirLinha" vbProcedure="false">MAX(PO!$V$12:$V$31)*CFF.NumLinha-ROW(CFF!$F$21)+ROW(CFF!$F$17)+1</definedName>
    <definedName function="false" hidden="false" name="CFF.NumLinha" vbProcedure="false">ROW(CFF!$D$14)-ROW(CFF!$D$10)-1</definedName>
    <definedName function="false" hidden="false" name="CFF.Item" vbProcedure="false">OFFSET(CFF!$L$17,1,0):OFFSET(CFF!$X$21,-1,-1)</definedName>
    <definedName function="false" hidden="false" name="CFF.LinhaPadrão" vbProcedure="false">CFF!$A$11:$W$11</definedName>
    <definedName function="false" hidden="false" name="Composições.LinhaPadrão" vbProcedure="false">#REF!</definedName>
    <definedName function="false" hidden="false" name="Cotações.LinhaPadrão" vbProcedure="false">#REF!</definedName>
    <definedName function="false" hidden="false" name="Dados.Assinatura1" vbProcedure="false">DADOS!$B$54:$E$57</definedName>
    <definedName function="false" hidden="false" name="Dados.Assinatura2" vbProcedure="false">DADOS!$H$54:$K$57</definedName>
    <definedName function="false" hidden="false" name="Dados.Lista.Acompanhamento" vbProcedure="false">DADOS!$P$122:$P$123</definedName>
    <definedName function="false" hidden="false" name="Dados.Lista.BDI" vbProcedure="false">DADOS!$T$37:$X$37</definedName>
    <definedName function="false" hidden="false" name="Dados.Lista.Localidade" vbProcedure="false">DADOS!$L$107:$L$134</definedName>
    <definedName function="false" hidden="false" name="Dados.Lista.RegimeExecução" vbProcedure="false">DADOS!$P$115:$P$120</definedName>
    <definedName function="false" hidden="false" name="EXCELVERSAO" vbProcedure="false">IF(MID(INFO("SOLTAR"),1,2)*1&lt;=11,"Excel 2003","Superior")</definedName>
    <definedName function="false" hidden="false" name="Import.Apelido" vbProcedure="false">DADOS!$Q$32</definedName>
    <definedName function="false" hidden="false" name="Import.Ação" vbProcedure="false">DADOS!$J$29</definedName>
    <definedName function="false" hidden="false" name="Import.CNPJ" vbProcedure="false">DADOS!$B$57</definedName>
    <definedName function="false" hidden="false" name="Import.CR" vbProcedure="false">DADOS!$A$29</definedName>
    <definedName function="false" hidden="false" name="Import.CTEF" vbProcedure="false">DADOS!$A$43</definedName>
    <definedName function="false" hidden="false" name="Import.CustoUnitário" vbProcedure="false">OFFSET(PO!$Q$12,1,0):OFFSET(PO!$Q$31,-1,0)</definedName>
    <definedName function="false" hidden="false" name="Import.Código" vbProcedure="false">OFFSET(PO!$M$12,1,0):OFFSET(PO!$M$31,-1,0)</definedName>
    <definedName function="false" hidden="false" name="Import.DadosBDI" vbProcedure="false">DADOS!$S$108:$S$112</definedName>
    <definedName function="false" hidden="false" name="Import.DataAssinaturaCTEF" vbProcedure="false">DADOS!$U$43</definedName>
    <definedName function="false" hidden="false" name="Import.DataBase" vbProcedure="false">DADOS!$A$38</definedName>
    <definedName function="false" hidden="false" name="Import.DataBaseLicit" vbProcedure="false">DADOS!$H$43</definedName>
    <definedName function="false" hidden="false" name="Import.DataCot" vbProcedure="false">OFFSET(#REF!,1,0):OFFSET(#REF!,-1,0)</definedName>
    <definedName function="false" hidden="false" name="Import.DataCotIndice" vbProcedure="false">OFFSET(#REF!,1,0):OFFSET(#REF!,-1,0)</definedName>
    <definedName function="false" hidden="false" name="Import.DataInícioObra" vbProcedure="false">DADOS!$A$48</definedName>
    <definedName function="false" hidden="false" name="Import.DescComp" vbProcedure="false">OFFSET(#REF!,1,0):OFFSET(#REF!,-1,0)</definedName>
    <definedName function="false" hidden="false" name="Import.DescCot" vbProcedure="false">OFFSET(#REF!,1,0):OFFSET(#REF!,-1,0)</definedName>
    <definedName function="false" hidden="false" name="Import.DescLote" vbProcedure="false">DADOS!$G$38</definedName>
    <definedName function="false" hidden="false" name="Import.Descrição" vbProcedure="false">OFFSET(PO!$N$12,1,0):OFFSET(PO!$N$31,-1,0)</definedName>
    <definedName function="false" hidden="false" name="Import.Desoneracao" vbProcedure="false">DADOS!$C$38</definedName>
    <definedName function="false" hidden="false" name="Import.DesoneracaoLicit" vbProcedure="false">DADOS!$J$43</definedName>
    <definedName function="false" hidden="false" name="Import.Empresa" vbProcedure="false">DADOS!$C$43</definedName>
    <definedName function="false" hidden="false" name="Import.FontComp" vbProcedure="false">OFFSET(#REF!,1,0):OFFSET(#REF!,-1,0)</definedName>
    <definedName function="false" hidden="false" name="Import.Fonte" vbProcedure="false">OFFSET(PO!$L$12,1,0):OFFSET(PO!$L$31,-1,0)</definedName>
    <definedName function="false" hidden="false" name="Import.FrenteDeObra" vbProcedure="false">PLQ!$F$9:OFFSET(PLQ!$P$9,0,-1)</definedName>
    <definedName function="false" hidden="false" name="Import.Gestor" vbProcedure="false">DADOS!$C$29</definedName>
    <definedName function="false" hidden="false" name="Import.IndiceAtual" vbProcedure="false">OFFSET(#REF!,1,0):OFFSET(#REF!,-1,0)</definedName>
    <definedName function="false" hidden="false" name="Import.IndiceCot" vbProcedure="false">OFFSET(#REF!,1,0):OFFSET(#REF!,-1,0)</definedName>
    <definedName function="false" hidden="false" name="Import.Item" vbProcedure="false">OFFSET(PO!$K$12,1,0):OFFSET(PO!$K$31,-1,0)</definedName>
    <definedName function="false" hidden="false" name="Import.Localidade" vbProcedure="false">DADOS!$K$32</definedName>
    <definedName function="false" hidden="false" name="Import.LocalSINAPI" vbProcedure="false">DADOS!$D$38</definedName>
    <definedName function="false" hidden="false" name="Import.Município" vbProcedure="false">DADOS!$G$32</definedName>
    <definedName function="false" hidden="false" name="Import.NomeEmpresaForn" vbProcedure="false">OFFSET(#REF!,1,0):OFFSET(#REF!,-1,0)</definedName>
    <definedName function="false" hidden="false" name="Import.Nível" vbProcedure="false">OFFSET(PO!$J$12,1,0):OFFSET(PO!$J$31,-1,0)</definedName>
    <definedName function="false" hidden="false" name="Import.ObjetoCR" vbProcedure="false">DADOS!$P$29</definedName>
    <definedName function="false" hidden="false" name="Import.ObjetoCTEF" vbProcedure="false">DADOS!$O$43</definedName>
    <definedName function="false" hidden="false" name="Import.ObsComp" vbProcedure="false">OFFSET(#REF!,1,0):OFFSET(#REF!,-1,0)</definedName>
    <definedName function="false" hidden="false" name="Import.ObsCot" vbProcedure="false">OFFSET(#REF!,1,0):OFFSET(#REF!,-1,0)</definedName>
    <definedName function="false" hidden="false" name="Import.ObsForn" vbProcedure="false">OFFSET(#REF!,1,0):OFFSET(#REF!,-1,0)</definedName>
    <definedName function="false" hidden="false" name="Import.ObsIndice" vbProcedure="false">OFFSET(#REF!,1,0):OFFSET(#REF!,-1,0)</definedName>
    <definedName function="false" hidden="false" name="Import.PLQ" vbProcedure="false">OFFSET(PLQ!$F$12,1,0):OFFSET(PLQ!$P$31,-1,-1)</definedName>
    <definedName function="false" hidden="false" name="Import.POArred" vbProcedure="false">PO!$X$3:$X$7</definedName>
    <definedName function="false" hidden="false" name="Import.PreçoTotal" vbProcedure="false">OFFSET(PO!$T$12,1,0):OFFSET(PO!$T$31,-1,0)</definedName>
    <definedName function="false" hidden="false" name="Import.PreçoUnitário" vbProcedure="false">OFFSET(PO!$S$12,1,0):OFFSET(PO!$S$31,-1,0)</definedName>
    <definedName function="false" hidden="false" name="Import.Programa" vbProcedure="false">DADOS!$F$29</definedName>
    <definedName function="false" hidden="false" name="Import.Proponente" vbProcedure="false">DADOS!$A$32</definedName>
    <definedName function="false" hidden="false" name="Import.Quantidade" vbProcedure="false">OFFSET(PO!$P$12,1,0):OFFSET(PO!$P$31,-1,0)</definedName>
    <definedName function="false" hidden="false" name="Import.RegimeExecução" vbProcedure="false">DADOS!$K$43</definedName>
    <definedName function="false" hidden="false" name="Import.TelefoneForn" vbProcedure="false">OFFSET(#REF!,1,0):OFFSET(#REF!,-1,0)</definedName>
    <definedName function="false" hidden="false" name="Import.TipoComp" vbProcedure="false">OFFSET(#REF!,1,0):OFFSET(#REF!,-1,0)</definedName>
    <definedName function="false" hidden="false" name="Import.TipoCot" vbProcedure="false">OFFSET(#REF!,1,0):OFFSET(#REF!,-1,0)</definedName>
    <definedName function="false" hidden="false" name="Import.Unidade" vbProcedure="false">OFFSET(PO!$O$12,1,0):OFFSET(PO!$O$31,-1,0)</definedName>
    <definedName function="false" hidden="false" name="Import.UnidadeComp" vbProcedure="false">OFFSET(#REF!,1,0):OFFSET(#REF!,-1,0)</definedName>
    <definedName function="false" hidden="false" name="Import.UnidCot" vbProcedure="false">OFFSET(#REF!,1,0):OFFSET(#REF!,-1,0)</definedName>
    <definedName function="false" hidden="false" name="Import.Valor1Indice" vbProcedure="false">OFFSET(#REF!,1,0):OFFSET(#REF!,-1,0)</definedName>
    <definedName function="false" hidden="false" name="Import.Valor2Indice" vbProcedure="false">OFFSET(#REF!,1,0):OFFSET(#REF!,-1,0)</definedName>
    <definedName function="false" hidden="false" name="Import.ValorBDI" vbProcedure="false">OFFSET(PO!$Z$12,1,0):OFFSET(PO!$Z$31,-1,0)</definedName>
    <definedName function="false" hidden="false" name="Import.ValorCot" vbProcedure="false">OFFSET(#REF!,1,0):OFFSET(#REF!,-1,0)</definedName>
    <definedName function="false" hidden="false" name="Import.Vigência" vbProcedure="false">DADOS!$W$43</definedName>
    <definedName function="false" hidden="false" name="Linhacabeçalhodados" vbProcedure="false">DADOS!$A$220:$X$220</definedName>
    <definedName function="false" hidden="false" name="LinhaEncargosSociais" vbProcedure="false">PO!$K$32</definedName>
    <definedName function="false" hidden="false" name="ListaFornecedor" vbProcedure="false">OFFSET(#REF!,0,0,MAX(#REF!)+1)</definedName>
    <definedName function="false" hidden="false" name="ListaIndice" vbProcedure="false">OFFSET(#REF!,1,0,MAX(#REF!))</definedName>
    <definedName function="false" hidden="false" name="NMaxCrono" vbProcedure="false">CFF!$A$9</definedName>
    <definedName function="false" hidden="false" name="Objeto" vbProcedure="false">DADOS!$A$1</definedName>
    <definedName function="false" hidden="false" name="ORÇAMENTO.OpcaoCusto" vbProcedure="false">PO!$Q$10</definedName>
    <definedName function="false" hidden="false" name="PLQ.ColunaPadrão" vbProcedure="false">PLQ!$U:$U</definedName>
    <definedName function="false" hidden="false" name="PLQ.Colunas" vbProcedure="false">PLQ!$F$10:$P$10</definedName>
    <definedName function="false" hidden="false" name="PLQ.FormulaQuant" vbProcedure="false">PLQ!$E$7</definedName>
    <definedName function="false" hidden="false" name="PLQ.Item" vbProcedure="false">PLQ!$B$9:OFFSET(PLQ!$B$31,-1,0)</definedName>
    <definedName function="false" hidden="false" name="PLQ.LinhaPadrão" vbProcedure="false">PLQ!$A$11:$P$11</definedName>
    <definedName function="false" hidden="false" name="PLQ.qtde.frentes" vbProcedure="false">COUNTA(PLQ!$F$9:$P$9)</definedName>
    <definedName function="false" hidden="false" name="PO.BDI" vbProcedure="false">OFFSET(PO!$R$12,1,0):OFFSET(PO!$R$31,-1,0)</definedName>
    <definedName function="false" hidden="false" name="PO.CustoRef" vbProcedure="false">OFFSET(PO!$Y$12,1,0):OFFSET(PO!$Y$31,-1,0)</definedName>
    <definedName function="false" hidden="false" name="PO.CustoUnitario" vbProcedure="false">ROUND(PO!$Q1,15-13*PO!$X$4)</definedName>
    <definedName function="false" hidden="false" name="PO.Dados" vbProcedure="false">PO!$C$12:OFFSET(PO!$Z$31,-1,0)</definedName>
    <definedName function="false" hidden="false" name="PO.FormulaQuant" vbProcedure="false">PO!$P$9</definedName>
    <definedName function="false" hidden="false" name="PO.LinhaPadrão" vbProcedure="false">PO!$C$11:$Z$11</definedName>
    <definedName function="false" hidden="false" name="PO.PrecoUnitario" vbProcedure="false">ROUND(PO!$S1,15-13*PO!$X$6)</definedName>
    <definedName function="false" hidden="false" name="PO.Quantidade" vbProcedure="false">ROUND(PO!$P1,15-13*PO!$X$3)</definedName>
    <definedName function="false" hidden="false" name="Referencia.Descricao" vbProcedure="false">IF(ISNUMBER(PO!linhaSINAPIxls),INDEX(INDIRECT("'[Referência "&amp;_xlnm.Database&amp;".xls]Banco'!$b:$g"),PO!linhaSINAPIxls,3),"")</definedName>
    <definedName function="false" hidden="false" localSheetId="2" name="linhaSINAPIxls" vbProcedure="false">PO!$X1</definedName>
    <definedName function="false" hidden="false" name="_xlnm.Database" vbProcedure="false">TEXT(Import.DataBase,"mm-aaaa")</definedName>
    <definedName function="false" hidden="false" name="Referencia.Desonerado" vbProcedure="false">IF(ISNUMBER(PO!linhaSINAPIxls),VALUE(INDEX(INDIRECT("'[Referência "&amp;_xlnm.Database&amp;".xls]Banco'!$b:$g"),PO!linhaSINAPIxls,5)),0)</definedName>
    <definedName function="false" hidden="false" name="Referencia.NaoDesonerado" vbProcedure="false">IF(ISNUMBER(PO!linhaSINAPIxls),VALUE(INDEX(INDIRECT("'[Referência "&amp;_xlnm.Database&amp;".xls]Banco'!$b:$g"),PO!linhaSINAPIxls,6)),0)</definedName>
    <definedName function="false" hidden="false" name="Referencia.Unidade" vbProcedure="false">IF(ISNUMBER(PO!linhaSINAPIxls),INDEX(INDIRECT("'[Referência "&amp;_xlnm.Database&amp;".xls]Banco'!$b:$g"),PO!linhaSINAPIxls,4),"")</definedName>
    <definedName function="false" hidden="false" name="SaldoPerc" vbProcedure="false">1-IF(ISNUMBER(cff!xfd2),cff!xfd2,0)</definedName>
    <definedName function="false" hidden="false" name="SENHAGT" vbProcedure="false">"quantidades"</definedName>
    <definedName function="false" hidden="false" name="SomaAgrup" vbProcedure="false">SUMIF(OFFSET(PO!$A1,1,0,PO!$B1),"S",OFFSET(PO!A1,1,0,PO!$B1))</definedName>
    <definedName function="false" hidden="false" name="TipoOrçamento" vbProcedure="false">"BASE"</definedName>
    <definedName function="false" hidden="false" name="Versao" vbProcedure="false">DADOS!$A$2</definedName>
    <definedName function="false" hidden="false" name="VTOTAL1" vbProcedure="false">ROUND(PO.Quantidade*PO.PrecoUnitario,15-13*PO!$X$7)</definedName>
    <definedName function="false" hidden="false" name="Índices.LinhaPadrão" vbProcedure="false">#REF!</definedName>
    <definedName function="false" hidden="false" localSheetId="0" name="_xlnm._FilterDatabase" vbProcedure="false">dados!#ref!</definedName>
    <definedName function="false" hidden="false" localSheetId="2" name="Código" vbProcedure="false">PO!$M1</definedName>
    <definedName function="false" hidden="false" localSheetId="2" name="Fonte" vbProcedure="false">PO!$L1</definedName>
    <definedName function="false" hidden="false" localSheetId="2" name="_xlnm.Print_Titles" vbProcedure="false">PO!$10:$10</definedName>
    <definedName function="false" hidden="false" localSheetId="2" name="_xlnm._FilterDatabase" vbProcedure="false">PO!$C$10:$T$13</definedName>
    <definedName function="false" hidden="false" localSheetId="3" name="_xlnm.Print_Titles" vbProcedure="false">PLQ!$B:$E,PLQ!$9:$10</definedName>
    <definedName function="false" hidden="false" localSheetId="3" name="_xlnm._FilterDatabase" vbProcedure="false">PLQ!$A$10:$O$13</definedName>
    <definedName function="false" hidden="false" localSheetId="4" name="_xlnm.Print_Titles" vbProcedure="false">CFF!$L:$O,CFF!$10:$10</definedName>
    <definedName function="false" hidden="false" localSheetId="4" name="_xlnm._FilterDatabase" vbProcedure="false">cff!#ref!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<sst xmlns="http://schemas.openxmlformats.org/spreadsheetml/2006/main" count="391" uniqueCount="244">
  <si>
    <t xml:space="preserve">PO - Planilha Orçamentária / PLQ - Planilha de Levantamento de Quantidades / CFF - Cronograma Físico Financeiro</t>
  </si>
  <si>
    <t xml:space="preserve">v007</t>
  </si>
  <si>
    <t xml:space="preserve">INSTRUÇÕES DE USO E PREENCHIMENTO</t>
  </si>
  <si>
    <r>
      <rPr>
        <sz val="10"/>
        <rFont val="Arial"/>
        <family val="2"/>
        <charset val="1"/>
      </rPr>
      <t xml:space="preserve">1. Este documento somente pode ser utilizado nas versões do </t>
    </r>
    <r>
      <rPr>
        <b val="true"/>
        <sz val="10"/>
        <rFont val="Arial"/>
        <family val="2"/>
        <charset val="1"/>
      </rPr>
      <t xml:space="preserve">Excel 2003 ou superior</t>
    </r>
    <r>
      <rPr>
        <sz val="10"/>
        <rFont val="Arial"/>
        <family val="2"/>
        <charset val="1"/>
      </rPr>
      <t xml:space="preserve">. Não deve ser utilizado versões do BROffice. O Documento deve ser salvo </t>
    </r>
    <r>
      <rPr>
        <b val="true"/>
        <sz val="10"/>
        <rFont val="Arial"/>
        <family val="2"/>
        <charset val="1"/>
      </rPr>
      <t xml:space="preserve">SOMENTE</t>
    </r>
    <r>
      <rPr>
        <sz val="10"/>
        <rFont val="Arial"/>
        <family val="2"/>
        <charset val="1"/>
      </rPr>
      <t xml:space="preserve"> em extensão habilitada para macros </t>
    </r>
    <r>
      <rPr>
        <b val="true"/>
        <sz val="10"/>
        <rFont val="Arial"/>
        <family val="2"/>
        <charset val="1"/>
      </rPr>
      <t xml:space="preserve">(.xls ou .xlsm). </t>
    </r>
    <r>
      <rPr>
        <sz val="10"/>
        <rFont val="Arial"/>
        <family val="2"/>
        <charset val="1"/>
      </rPr>
      <t xml:space="preserve">Se o documento for salvo na extensão </t>
    </r>
    <r>
      <rPr>
        <b val="true"/>
        <sz val="10"/>
        <rFont val="Arial"/>
        <family val="2"/>
        <charset val="1"/>
      </rPr>
      <t xml:space="preserve">.xlsx</t>
    </r>
    <r>
      <rPr>
        <sz val="10"/>
        <rFont val="Arial"/>
        <family val="2"/>
        <charset val="1"/>
      </rPr>
      <t xml:space="preserve">, o arquivo será </t>
    </r>
    <r>
      <rPr>
        <b val="true"/>
        <sz val="10"/>
        <rFont val="Arial"/>
        <family val="2"/>
        <charset val="1"/>
      </rPr>
      <t xml:space="preserve">INUTILIZADO.</t>
    </r>
    <r>
      <rPr>
        <sz val="10"/>
        <rFont val="Arial"/>
        <family val="2"/>
        <charset val="1"/>
      </rPr>
      <t xml:space="preserve"> </t>
    </r>
  </si>
  <si>
    <r>
      <rPr>
        <sz val="10"/>
        <rFont val="Arial"/>
        <family val="2"/>
        <charset val="1"/>
      </rPr>
      <t xml:space="preserve">2. Para funcionamento pleno desse arquivo, a </t>
    </r>
    <r>
      <rPr>
        <b val="true"/>
        <sz val="10"/>
        <rFont val="Arial"/>
        <family val="2"/>
        <charset val="1"/>
      </rPr>
      <t xml:space="preserve">Segurança de Macros do Excel deve ser habilitada</t>
    </r>
    <r>
      <rPr>
        <sz val="10"/>
        <rFont val="Arial"/>
        <family val="2"/>
        <charset val="1"/>
      </rPr>
      <t xml:space="preserve">.</t>
    </r>
  </si>
  <si>
    <t xml:space="preserve">2.1  Na Versão Excel 2003, selecione na Faixa de Opções: Ferramentas --&gt; Macro --&gt; Segurança --&gt; Na aba Nível de Segurança selecione a Opção "Baixo" --&gt; Clique em OK --&gt; Feche e abra o Excel novamente para utilizar a Planilha.</t>
  </si>
  <si>
    <t xml:space="preserve">2.2 Na Versão Excel 2007 ou superior, selecione na Faixa de Opções: Arquivo --&gt; Opções --&gt; Central de Confiabilidade --&gt; Configurações da Central de Confiabilidade --&gt; Configurações de Macro --&gt; Habilitar todas as Macros --&gt; Clique em OK --&gt; Feche e abra o excel novamente para utilizar a Planilha.</t>
  </si>
  <si>
    <r>
      <rPr>
        <sz val="10"/>
        <rFont val="Arial"/>
        <family val="2"/>
        <charset val="1"/>
      </rPr>
      <t xml:space="preserve">3. O Preenchimento deve ser feito somente nas </t>
    </r>
    <r>
      <rPr>
        <b val="true"/>
        <sz val="10"/>
        <rFont val="Arial"/>
        <family val="2"/>
        <charset val="1"/>
      </rPr>
      <t xml:space="preserve">células em amarelo</t>
    </r>
    <r>
      <rPr>
        <sz val="10"/>
        <rFont val="Arial"/>
        <family val="2"/>
        <charset val="1"/>
      </rPr>
      <t xml:space="preserve">. As outras células são de preenchimento Automático.</t>
    </r>
  </si>
  <si>
    <t xml:space="preserve">4. Preferências de Elaboração do Orçamento</t>
  </si>
  <si>
    <t xml:space="preserve">4.1. Preenchimento de Quantidades</t>
  </si>
  <si>
    <t xml:space="preserve">5. Ordem de Preenchimento</t>
  </si>
  <si>
    <t xml:space="preserve">5.1. na Aba DADOS</t>
  </si>
  <si>
    <t xml:space="preserve">5.1.1. Preencha no Quadro abaixo os Dados do TC/CR:</t>
  </si>
  <si>
    <t xml:space="preserve">Nº OPERAÇÃO</t>
  </si>
  <si>
    <t xml:space="preserve">GESTOR</t>
  </si>
  <si>
    <t xml:space="preserve">PROGRAMA</t>
  </si>
  <si>
    <t xml:space="preserve">AÇÃO / MODALIDADE</t>
  </si>
  <si>
    <t xml:space="preserve">OBJETO</t>
  </si>
  <si>
    <t xml:space="preserve">1006-618-30/2013</t>
  </si>
  <si>
    <t xml:space="preserve">Ministerio das Cidades</t>
  </si>
  <si>
    <t xml:space="preserve">ESPORTES E GRANDES EVENTOS ESPORTIVOS - IMPLANTAÇÃO E MODERNIZAÇÃO DE INFRAESTRUTURA ESPORTIVA</t>
  </si>
  <si>
    <t xml:space="preserve">COBERTURA E AQUECIMENTO SOLAR DA PISCINA SEMI-OLÍMPICA</t>
  </si>
  <si>
    <t xml:space="preserve">PROPONENTE / TOMADOR</t>
  </si>
  <si>
    <t xml:space="preserve">MUNICÍPIO / UF</t>
  </si>
  <si>
    <t xml:space="preserve">LOCALIDADE / ENDEREÇO</t>
  </si>
  <si>
    <t xml:space="preserve">APELIDO DO EMPREENDIMENTO</t>
  </si>
  <si>
    <t xml:space="preserve">PREFEITURA MUNICIPAL DE PARAGAUÇU PAULISTA</t>
  </si>
  <si>
    <t xml:space="preserve">PARAGUAÇU PAULISTA</t>
  </si>
  <si>
    <t xml:space="preserve">RUA BARÃO DO RIO BRANCO COM RUA MARIA PAULA GAMBIER COSTA</t>
  </si>
  <si>
    <t xml:space="preserve">5.1.2. Preencha no quadro abaixo as informações sobre o orçamento:</t>
  </si>
  <si>
    <t xml:space="preserve">DATA BASE</t>
  </si>
  <si>
    <t xml:space="preserve">DESON.</t>
  </si>
  <si>
    <t xml:space="preserve">LOCALIDADE DO SINAPI</t>
  </si>
  <si>
    <t xml:space="preserve">DESCRIÇÃO DO LOTE</t>
  </si>
  <si>
    <t xml:space="preserve">BDI 1</t>
  </si>
  <si>
    <t xml:space="preserve">BDI 2</t>
  </si>
  <si>
    <t xml:space="preserve">BDI 3</t>
  </si>
  <si>
    <t xml:space="preserve">BDI 4</t>
  </si>
  <si>
    <t xml:space="preserve">BDI 5</t>
  </si>
  <si>
    <t xml:space="preserve">Sim</t>
  </si>
  <si>
    <t xml:space="preserve">São Paulo / SP</t>
  </si>
  <si>
    <t xml:space="preserve">4.1.2. Preencha no quadro abaixo as informações sobre o orçamento licitado:</t>
  </si>
  <si>
    <t xml:space="preserve">CTEF n.º</t>
  </si>
  <si>
    <t xml:space="preserve">NOME DA EMPRESA </t>
  </si>
  <si>
    <t xml:space="preserve">REGIME DE EXECUÇÃO</t>
  </si>
  <si>
    <t xml:space="preserve">ACOMP.</t>
  </si>
  <si>
    <t xml:space="preserve">OBJETO CTEF</t>
  </si>
  <si>
    <t xml:space="preserve">DATA ASSINATURA</t>
  </si>
  <si>
    <t xml:space="preserve">VIGÊNCIA</t>
  </si>
  <si>
    <t xml:space="preserve">5.1.3. Preencha a data de Início da Obra:</t>
  </si>
  <si>
    <t xml:space="preserve">DATA INÍCIO</t>
  </si>
  <si>
    <t xml:space="preserve">5.1.4. Preencha no(s) Quadro(s) abaixo os Dados do(s) Responsável(is) Técnico(s) pela elaboração do Orçamento:</t>
  </si>
  <si>
    <t xml:space="preserve">Exibir o 2° Quadro de Assinatura?</t>
  </si>
  <si>
    <t xml:space="preserve">NÃO</t>
  </si>
  <si>
    <t xml:space="preserve">Nome:</t>
  </si>
  <si>
    <t xml:space="preserve">Joaquim Carlos Cambraia</t>
  </si>
  <si>
    <t xml:space="preserve">Engº civil </t>
  </si>
  <si>
    <t xml:space="preserve">0600278645</t>
  </si>
  <si>
    <t xml:space="preserve">28027230181321672</t>
  </si>
  <si>
    <t xml:space="preserve">5.2. Legenda das Abas</t>
  </si>
  <si>
    <t xml:space="preserve">5.2.1.  LARANJA: Aba DADOS. Preenchimento Obrigatório. Impressão Dispensada.</t>
  </si>
  <si>
    <t xml:space="preserve">5.2.2.  AMARELO: Abas BDI, PO, PLQ e CFF. Preenchimento e Impressão Obrigatórias. O preenchimento da Aba BDI é dispensada para os casos de Aquisição Direta de Materiais e Equipamentos. A Impressão da Aba PLQ pode ser dispensada para casos de Frente de Obra Única.</t>
  </si>
  <si>
    <t xml:space="preserve">5.3. na Aba BDI (Bonificações e Despesas Indiretas):</t>
  </si>
  <si>
    <t xml:space="preserve">5.3.1. Escolha o tipo de empreendimento.</t>
  </si>
  <si>
    <t xml:space="preserve">5.3.2. Escolha se o BDI será do tipo desonerado ou não (aba DADOS)</t>
  </si>
  <si>
    <t xml:space="preserve">5.3.3. Informe a base de cálculo do ISS (0 a 100%).</t>
  </si>
  <si>
    <t xml:space="preserve">5.3.4. Informe a alíquota do ISS (Normalmente de 2 a 5%).</t>
  </si>
  <si>
    <t xml:space="preserve">5.3.5. Defina na tabela os percentuais a serem adotados para cada item que compõe o BDI nos campos em amarelo.</t>
  </si>
  <si>
    <t xml:space="preserve">5.3.6. Preencha o campo observações se necessário (recomendado para os orçamentos que utilizam mais de um BDI).</t>
  </si>
  <si>
    <t xml:space="preserve">5.4. na Aba PO (Planilha Orçamentária):</t>
  </si>
  <si>
    <t xml:space="preserve">5.4.1. Primeiramente, selecione os níveis de cada item do orçamento na coluna NÍVEL.</t>
  </si>
  <si>
    <t xml:space="preserve">5.4.1.1: O nível de "Serviço" serve tanto para serviços ou insumos (mão-de-obra / material / equipamento / veículo / máquina / ferramenta / etc). Um "nível 2/3/4" é um título (é preenchida apenas a coluna descrição) utilizado para organizar melhor a planilha orçamentária e engloba (agrupa) serviços e agrupadores de nível inferior.</t>
  </si>
  <si>
    <t xml:space="preserve">5.4.2. Após a seleção dos níveis, preencha, para cada serviço, as informações sobre a Fonte de Referência, (SINAPI, SICRO, SIURB, etc) e o respectivo Código de Referência.</t>
  </si>
  <si>
    <t xml:space="preserve">5.4.3. Esta planilha é compatível com o arquivo REFERÊNCIA distribuído pela CAIXA. Caso o arquivo REFERÊNCIA esteja aberto, será possível buscar um código através do botão "Buscar Código". Desta forma a descrição dos serviços será preenchida automaticamente (podendo ser substituída). Caso contrário, seu preenchimento deve ser manual.</t>
  </si>
  <si>
    <t xml:space="preserve">5.4.3.1. As descrições e unidades preenchidas automaticamente ficarão vinculadas ao arquivo REFERÊNCIA até que se use o botão "Fixar Descrições", que quebra a fórmula e transforma as descrições em texto.</t>
  </si>
  <si>
    <t xml:space="preserve">5.4.4. Preencher o custo unitário do serviço/insumo na Coluna CUSTO UNITÁRIO. ATENÇÃO: o custo unitário adotado deve ser menor ou igual ao contido na tabela de referência ou mediana das cotações de mercado.</t>
  </si>
  <si>
    <t xml:space="preserve">5.4.5. Indicar o BDI adotado para cada serviço/insumo na Coluna BDI. Preferencialmente selecione uma das opções da lista suspensa que aparecerá na célula, esta lista contém os 05 BDIs que podem ser preenchidos na Aba BDI (conforme item 5.2 das instruções). Caso seja necessária a adoção de mais de 05 valores diferentes de BDI, digite o percentual diretamente na célula.</t>
  </si>
  <si>
    <t xml:space="preserve">5.4.6. Conforme selecionado no item 4.1. desta Aba, a Coluna Quantidade pode ser preenchida diretamente na PO, ou representar a soma das quantidades de cada Frente de Obra, informadas na aba PLQ (Planilha de Levantamento de Quantitativos).</t>
  </si>
  <si>
    <t xml:space="preserve">5.4.7. OBSERVAÇÃO: As demais colunas (Item / Quantidade / Preço Unitário / Preço Total) são de preenchimento automático. Não tente preenche-las ou alterá-las na Aba PO.</t>
  </si>
  <si>
    <t xml:space="preserve">5.4.8. Se for necessário acrescentar ou excluir linhas da Planilha Orçamentária, utilize o Botão EDITAR PLANILHA e selecione as opções no quadro.
ATENÇÃO: quanto maior o número de linhas mais lento será o processamento dos dados, então acrescente apenas o número necessário ou um pouco a mais.</t>
  </si>
  <si>
    <t xml:space="preserve">5.4.8.1. Evite deixar linhas em branco no corpo da Planilha Orçamentária.</t>
  </si>
  <si>
    <t xml:space="preserve">5.4.9. Caso deseje importar os dados de outro arquivo utilize apenas a opção COLAR ESPECIAL ==&gt; VALORES.</t>
  </si>
  <si>
    <t xml:space="preserve">5.4.10. Clique no Botão LICITAR / REPROGRAMAR para preencher o Orçamento Licitado ou Reprogramado.</t>
  </si>
  <si>
    <t xml:space="preserve">5.5. na Aba PLQ (Planilha de Levantamento de Quantitativos):</t>
  </si>
  <si>
    <t xml:space="preserve">5.5.1. Preencha primeiramente as Frentes de Obra.</t>
  </si>
  <si>
    <t xml:space="preserve">5.5.1.1. Exemplos de Frentes de Obra (Rua A trecho 01 / Rua A trecho 02 / Rua B ; UH 01 / UH 02 / UH 03). </t>
  </si>
  <si>
    <t xml:space="preserve">5.5.2. Preencha as quantidades dos serviços por frente de obra. A soma das quantidades de todas as frentes de um determinado serviço será a quantidade exibida na Planilha Orçamentária.</t>
  </si>
  <si>
    <t xml:space="preserve">5.5.3. Caso deseje incluir ou excluir frentes, utilize os botões ADICIONAR e EXCLUIR.</t>
  </si>
  <si>
    <t xml:space="preserve">5.6. na Aba CFF (Cronograma Físico-Financeiro):</t>
  </si>
  <si>
    <t xml:space="preserve">5.6.1. Preencha a data de início da obra na aba Dados.</t>
  </si>
  <si>
    <t xml:space="preserve">5.6.2. Preencha as porcentagens previstas por parcela para cada meta ou macrosserviço.</t>
  </si>
  <si>
    <t xml:space="preserve">5.6.3. Para atualizar o Cronograma conforme o Orçamento e incluir ou excluir parcelas, utilize o botão EDITAR / ATUALIZAR CRONOGRAMA.</t>
  </si>
  <si>
    <t xml:space="preserve">(Selecione uma Localidade)</t>
  </si>
  <si>
    <t xml:space="preserve">Aracaju / SE</t>
  </si>
  <si>
    <t xml:space="preserve">Belém / PA</t>
  </si>
  <si>
    <t xml:space="preserve">Belo Horizonte / MG</t>
  </si>
  <si>
    <t xml:space="preserve">Boa Vista / RR</t>
  </si>
  <si>
    <t xml:space="preserve">Brasília / DF</t>
  </si>
  <si>
    <t xml:space="preserve">Campo Grande / MS</t>
  </si>
  <si>
    <t xml:space="preserve">Cuiabá / MT</t>
  </si>
  <si>
    <t xml:space="preserve">Curitiba / PR</t>
  </si>
  <si>
    <t xml:space="preserve">Empreitada Preço Global</t>
  </si>
  <si>
    <t xml:space="preserve">Florianópolis / SC</t>
  </si>
  <si>
    <t xml:space="preserve">Empreitada Preço Unitário</t>
  </si>
  <si>
    <t xml:space="preserve">Fortaleza / CE</t>
  </si>
  <si>
    <t xml:space="preserve">Empreitada Integral</t>
  </si>
  <si>
    <t xml:space="preserve">Goiânia / GO</t>
  </si>
  <si>
    <t xml:space="preserve">Tarefa</t>
  </si>
  <si>
    <t xml:space="preserve">João Pessoa / PB</t>
  </si>
  <si>
    <t xml:space="preserve">Contratação Integrada</t>
  </si>
  <si>
    <t xml:space="preserve">Macapá / AP</t>
  </si>
  <si>
    <t xml:space="preserve">Não se aplica</t>
  </si>
  <si>
    <t xml:space="preserve">Maceió / AL</t>
  </si>
  <si>
    <t xml:space="preserve">Manaus / AM</t>
  </si>
  <si>
    <t xml:space="preserve">BM</t>
  </si>
  <si>
    <t xml:space="preserve">Natal / RN</t>
  </si>
  <si>
    <t xml:space="preserve">PLE</t>
  </si>
  <si>
    <t xml:space="preserve">Palmas / TO</t>
  </si>
  <si>
    <t xml:space="preserve">Porto Alegre / RS</t>
  </si>
  <si>
    <t xml:space="preserve">Porto Velho / RO</t>
  </si>
  <si>
    <t xml:space="preserve">Recife / PE</t>
  </si>
  <si>
    <t xml:space="preserve">Rio Branco / AC</t>
  </si>
  <si>
    <t xml:space="preserve">Rio de Janeiro / RJ</t>
  </si>
  <si>
    <t xml:space="preserve">Salvador / BA</t>
  </si>
  <si>
    <t xml:space="preserve">São Luís / MA</t>
  </si>
  <si>
    <t xml:space="preserve">Teresina / PI</t>
  </si>
  <si>
    <t xml:space="preserve">Vitória / ES</t>
  </si>
  <si>
    <t xml:space="preserve">NOME DA EMPRESA / CNPJ:</t>
  </si>
  <si>
    <t xml:space="preserve">MIN</t>
  </si>
  <si>
    <t xml:space="preserve">MED</t>
  </si>
  <si>
    <t xml:space="preserve">MAX</t>
  </si>
  <si>
    <t xml:space="preserve">Construção e Reforma de Edifícios</t>
  </si>
  <si>
    <t xml:space="preserve">AC</t>
  </si>
  <si>
    <t xml:space="preserve">SG</t>
  </si>
  <si>
    <t xml:space="preserve">R</t>
  </si>
  <si>
    <t xml:space="preserve">Nº TC/CR</t>
  </si>
  <si>
    <t xml:space="preserve">DF</t>
  </si>
  <si>
    <t xml:space="preserve">L</t>
  </si>
  <si>
    <t xml:space="preserve">BDI PAD</t>
  </si>
  <si>
    <t xml:space="preserve">Construção de Praças Urbanas, Rodovias, Ferrovias e recapeamento e pavimentação de vias urbanas</t>
  </si>
  <si>
    <t xml:space="preserve">TIPO DE OBRA DO EMPREENDIMENTO</t>
  </si>
  <si>
    <t xml:space="preserve">DESONERAÇÃO</t>
  </si>
  <si>
    <t xml:space="preserve">Conforme legislação tributária municipal, definir estimativa de percentual da base de cálculo para o ISS:</t>
  </si>
  <si>
    <t xml:space="preserve">Construção de Redes de Abastecimento de Água, Coleta de Esgoto</t>
  </si>
  <si>
    <t xml:space="preserve">Sobre a base de cálculo, definir a respectiva alíquota do ISS (entre 2% e 5%):</t>
  </si>
  <si>
    <t xml:space="preserve">Itens</t>
  </si>
  <si>
    <t xml:space="preserve">Siglas</t>
  </si>
  <si>
    <t xml:space="preserve">% Adotado</t>
  </si>
  <si>
    <t xml:space="preserve">Situação</t>
  </si>
  <si>
    <t xml:space="preserve">1º Quartil</t>
  </si>
  <si>
    <t xml:space="preserve">Médio</t>
  </si>
  <si>
    <t xml:space="preserve">3º Quartil</t>
  </si>
  <si>
    <t xml:space="preserve">-</t>
  </si>
  <si>
    <t xml:space="preserve">Construção e Manutenção de Estações e Redes de Distribuição de Energia Elétrica</t>
  </si>
  <si>
    <t xml:space="preserve">Tributos (impostos COFINS 3%, e  PIS 0,65%)</t>
  </si>
  <si>
    <t xml:space="preserve">CP</t>
  </si>
  <si>
    <t xml:space="preserve">Tributos (ISS, variável de acordo com o município)</t>
  </si>
  <si>
    <t xml:space="preserve">ISS</t>
  </si>
  <si>
    <t xml:space="preserve">Tributos (Contribuição Previdenciária sobre a Receita Bruta - 0% ou 4,5% - Desoneração)</t>
  </si>
  <si>
    <t xml:space="preserve">CPRB</t>
  </si>
  <si>
    <t xml:space="preserve">BDI SEM desoneração
(Fórmula Acórdão TCU)</t>
  </si>
  <si>
    <t xml:space="preserve">Obras Portuárias, Marítimas e Fluviais</t>
  </si>
  <si>
    <t xml:space="preserve">BDI COM desoneração</t>
  </si>
  <si>
    <t xml:space="preserve">BDI DES</t>
  </si>
  <si>
    <t xml:space="preserve">pedir anexo</t>
  </si>
  <si>
    <t xml:space="preserve">Anexo: Relatório Técnico Circunstanciado justificando a adoção do percentual de cada parcela do BDI.</t>
  </si>
  <si>
    <t xml:space="preserve">anexo apresentado</t>
  </si>
  <si>
    <t xml:space="preserve">Os valores de BDI foram calculados com o emprego da fórmula:</t>
  </si>
  <si>
    <t xml:space="preserve"> - 1</t>
  </si>
  <si>
    <t xml:space="preserve">Fornecimento de Materiais e Equipamentos (aquisição indireta - em conjunto com licitação de obras)</t>
  </si>
  <si>
    <t xml:space="preserve">Observações:</t>
  </si>
  <si>
    <t xml:space="preserve">Local</t>
  </si>
  <si>
    <t xml:space="preserve">Data</t>
  </si>
  <si>
    <t xml:space="preserve">Estudos e Projetos, Planos e Gerenciamento e outros correlatos</t>
  </si>
  <si>
    <t xml:space="preserve">K1</t>
  </si>
  <si>
    <t xml:space="preserve">K2</t>
  </si>
  <si>
    <t xml:space="preserve">Responsável Técnico</t>
  </si>
  <si>
    <t xml:space="preserve">Responsável Tomador</t>
  </si>
  <si>
    <t xml:space="preserve">Almira Ribas Garms</t>
  </si>
  <si>
    <t xml:space="preserve">K3</t>
  </si>
  <si>
    <t xml:space="preserve">Título:</t>
  </si>
  <si>
    <t xml:space="preserve">Cargo:</t>
  </si>
  <si>
    <t xml:space="preserve">Prefeita Municipal</t>
  </si>
  <si>
    <t xml:space="preserve">Fornecimento de Materiais e Equipamentos (aquisição direta)</t>
  </si>
  <si>
    <t xml:space="preserve">PO - PLANILHA ORÇAMENTÁRIA</t>
  </si>
  <si>
    <t xml:space="preserve">Grau de Sigilo</t>
  </si>
  <si>
    <t xml:space="preserve">LOTE</t>
  </si>
  <si>
    <t xml:space="preserve">Meta</t>
  </si>
  <si>
    <t xml:space="preserve">Nível 2</t>
  </si>
  <si>
    <t xml:space="preserve">Nível 3</t>
  </si>
  <si>
    <t xml:space="preserve">Nível 4</t>
  </si>
  <si>
    <t xml:space="preserve">Serviço</t>
  </si>
  <si>
    <t xml:space="preserve">#PUBLICO</t>
  </si>
  <si>
    <t xml:space="preserve">Arredondamento</t>
  </si>
  <si>
    <t xml:space="preserve">Quantidade</t>
  </si>
  <si>
    <t xml:space="preserve">Nmax</t>
  </si>
  <si>
    <t xml:space="preserve">ERRO GERAL</t>
  </si>
  <si>
    <t xml:space="preserve">Custo Unitáro</t>
  </si>
  <si>
    <t xml:space="preserve">BDI</t>
  </si>
  <si>
    <t xml:space="preserve">Preço Unitário</t>
  </si>
  <si>
    <t xml:space="preserve">Preço Total</t>
  </si>
  <si>
    <t xml:space="preserve">Nível</t>
  </si>
  <si>
    <t xml:space="preserve">Altura</t>
  </si>
  <si>
    <t xml:space="preserve">n1</t>
  </si>
  <si>
    <t xml:space="preserve">n2</t>
  </si>
  <si>
    <t xml:space="preserve">n3</t>
  </si>
  <si>
    <t xml:space="preserve">n4</t>
  </si>
  <si>
    <t xml:space="preserve">n5</t>
  </si>
  <si>
    <t xml:space="preserve">Czero</t>
  </si>
  <si>
    <t xml:space="preserve">Cnível</t>
  </si>
  <si>
    <t xml:space="preserve">Item</t>
  </si>
  <si>
    <t xml:space="preserve">Fonte</t>
  </si>
  <si>
    <t xml:space="preserve">Código</t>
  </si>
  <si>
    <t xml:space="preserve">Descrição</t>
  </si>
  <si>
    <t xml:space="preserve">Unidade</t>
  </si>
  <si>
    <t xml:space="preserve">BDI
(%)</t>
  </si>
  <si>
    <t xml:space="preserve">Preço Unitário (R$)</t>
  </si>
  <si>
    <t xml:space="preserve">Preço Total
(R$)</t>
  </si>
  <si>
    <t xml:space="preserve">Erro de Dados</t>
  </si>
  <si>
    <t xml:space="preserve">Lista Crono</t>
  </si>
  <si>
    <t xml:space="preserve">Concatenação Fonte-Código</t>
  </si>
  <si>
    <t xml:space="preserve">BancoRef</t>
  </si>
  <si>
    <t xml:space="preserve">Encargos sociais:</t>
  </si>
  <si>
    <t xml:space="preserve">Para elaboração deste orçamento, foram utilizados os encargos sociais do SINAPI para a Unidade da Federação indicada.</t>
  </si>
  <si>
    <t xml:space="preserve">PLQ -</t>
  </si>
  <si>
    <t xml:space="preserve">PLANILHA DE LEVANTAMENTO DE QUANTIDADES</t>
  </si>
  <si>
    <t xml:space="preserve">Única</t>
  </si>
  <si>
    <t xml:space="preserve">Unid.</t>
  </si>
  <si>
    <t xml:space="preserve">    CFF -</t>
  </si>
  <si>
    <t xml:space="preserve">CRONOGRAMA FÍSICO-FINANCEIRO</t>
  </si>
  <si>
    <t xml:space="preserve">Nível Máx Crono</t>
  </si>
  <si>
    <t xml:space="preserve">Último Nível</t>
  </si>
  <si>
    <t xml:space="preserve">N1</t>
  </si>
  <si>
    <t xml:space="preserve">N2</t>
  </si>
  <si>
    <t xml:space="preserve">N3</t>
  </si>
  <si>
    <t xml:space="preserve">N4</t>
  </si>
  <si>
    <t xml:space="preserve">VTOTAL SOMA</t>
  </si>
  <si>
    <t xml:space="preserve">Descrição das Metas / Macrosserviços</t>
  </si>
  <si>
    <t xml:space="preserve">Valores Totais (R$)</t>
  </si>
  <si>
    <t xml:space="preserve">Parcela (%)</t>
  </si>
  <si>
    <t xml:space="preserve">Acumulado (%)</t>
  </si>
  <si>
    <t xml:space="preserve">Acumulado (R$)</t>
  </si>
  <si>
    <t xml:space="preserve">CRONOGRAMA GLOBAL DO LOTE</t>
  </si>
  <si>
    <t xml:space="preserve">Parcela (R$)</t>
  </si>
</sst>
</file>

<file path=xl/styles.xml><?xml version="1.0" encoding="utf-8"?>
<styleSheet xmlns="http://schemas.openxmlformats.org/spreadsheetml/2006/main">
  <numFmts count="16">
    <numFmt numFmtId="164" formatCode="General"/>
    <numFmt numFmtId="165" formatCode="_(&quot;R$&quot;* #,##0.00_);_(&quot;R$&quot;* \(#,##0.00\);_(&quot;R$&quot;* \-??_);_(@_)"/>
    <numFmt numFmtId="166" formatCode="_(&quot;R$ &quot;* #,##0.00_);_(&quot;R$ &quot;* \(#,##0.00\);_(&quot;R$ &quot;* \-??_);_(@_)"/>
    <numFmt numFmtId="167" formatCode="#,##0"/>
    <numFmt numFmtId="168" formatCode="@"/>
    <numFmt numFmtId="169" formatCode="MMM\-YY;@"/>
    <numFmt numFmtId="170" formatCode="0%"/>
    <numFmt numFmtId="171" formatCode="0.00%"/>
    <numFmt numFmtId="172" formatCode="D/M/YYYY"/>
    <numFmt numFmtId="173" formatCode="_(* #,##0.00_);_(* \(#,##0.00\);_(* \-??_);_(@_)"/>
    <numFmt numFmtId="174" formatCode="DD/MM/YY;@"/>
    <numFmt numFmtId="175" formatCode="#,##0.00"/>
    <numFmt numFmtId="176" formatCode="0.00"/>
    <numFmt numFmtId="177" formatCode="General;General;;"/>
    <numFmt numFmtId="178" formatCode="[$-F800]DDDD&quot;, &quot;MMMM\ DD&quot;, &quot;YYYY"/>
    <numFmt numFmtId="179" formatCode="DD&quot; de &quot;MMMM&quot; de &quot;YYYY"/>
  </numFmts>
  <fonts count="55">
    <font>
      <sz val="10"/>
      <name val="Arial"/>
      <family val="0"/>
      <charset val="1"/>
    </font>
    <font>
      <sz val="10"/>
      <name val="Arial"/>
      <family val="0"/>
    </font>
    <font>
      <sz val="10"/>
      <name val="Arial"/>
      <family val="0"/>
    </font>
    <font>
      <sz val="10"/>
      <name val="Arial"/>
      <family val="0"/>
    </font>
    <font>
      <sz val="11"/>
      <color rgb="FF000000"/>
      <name val="Calibri"/>
      <family val="2"/>
      <charset val="1"/>
    </font>
    <font>
      <sz val="11"/>
      <color rgb="FFFFFFFF"/>
      <name val="Calibri"/>
      <family val="2"/>
      <charset val="1"/>
    </font>
    <font>
      <sz val="11"/>
      <color rgb="FF800080"/>
      <name val="Calibri"/>
      <family val="2"/>
      <charset val="1"/>
    </font>
    <font>
      <b val="true"/>
      <sz val="11"/>
      <color rgb="FF996633"/>
      <name val="Calibri"/>
      <family val="2"/>
      <charset val="1"/>
    </font>
    <font>
      <b val="true"/>
      <sz val="11"/>
      <color rgb="FFFFFFFF"/>
      <name val="Calibri"/>
      <family val="2"/>
      <charset val="1"/>
    </font>
    <font>
      <i val="true"/>
      <sz val="11"/>
      <color rgb="FF808080"/>
      <name val="Calibri"/>
      <family val="2"/>
      <charset val="1"/>
    </font>
    <font>
      <sz val="11"/>
      <color rgb="FF008000"/>
      <name val="Calibri"/>
      <family val="2"/>
      <charset val="1"/>
    </font>
    <font>
      <b val="true"/>
      <sz val="15"/>
      <color rgb="FF3333CC"/>
      <name val="Calibri"/>
      <family val="2"/>
      <charset val="1"/>
    </font>
    <font>
      <b val="true"/>
      <sz val="13"/>
      <color rgb="FF3333CC"/>
      <name val="Calibri"/>
      <family val="2"/>
      <charset val="1"/>
    </font>
    <font>
      <b val="true"/>
      <sz val="11"/>
      <color rgb="FF3333CC"/>
      <name val="Calibri"/>
      <family val="2"/>
      <charset val="1"/>
    </font>
    <font>
      <sz val="11"/>
      <color rgb="FF333399"/>
      <name val="Calibri"/>
      <family val="2"/>
      <charset val="1"/>
    </font>
    <font>
      <sz val="11"/>
      <color rgb="FF996633"/>
      <name val="Calibri"/>
      <family val="2"/>
      <charset val="1"/>
    </font>
    <font>
      <sz val="11"/>
      <color rgb="FF663300"/>
      <name val="Calibri"/>
      <family val="2"/>
      <charset val="1"/>
    </font>
    <font>
      <sz val="10"/>
      <name val="Arial"/>
      <family val="2"/>
      <charset val="1"/>
    </font>
    <font>
      <sz val="9"/>
      <name val="Arial"/>
      <family val="2"/>
      <charset val="1"/>
    </font>
    <font>
      <b val="true"/>
      <sz val="11"/>
      <color rgb="FF424242"/>
      <name val="Calibri"/>
      <family val="2"/>
      <charset val="1"/>
    </font>
    <font>
      <b val="true"/>
      <sz val="18"/>
      <color rgb="FF3333CC"/>
      <name val="Cambria"/>
      <family val="2"/>
      <charset val="1"/>
    </font>
    <font>
      <sz val="11"/>
      <color rgb="FFFF0000"/>
      <name val="Calibri"/>
      <family val="2"/>
      <charset val="1"/>
    </font>
    <font>
      <b val="true"/>
      <sz val="12"/>
      <name val="Arial"/>
      <family val="2"/>
      <charset val="1"/>
    </font>
    <font>
      <b val="true"/>
      <sz val="11"/>
      <name val="Arial"/>
      <family val="2"/>
      <charset val="1"/>
    </font>
    <font>
      <b val="true"/>
      <sz val="10"/>
      <name val="Arial"/>
      <family val="2"/>
      <charset val="1"/>
    </font>
    <font>
      <b val="true"/>
      <sz val="9"/>
      <name val="Arial"/>
      <family val="2"/>
      <charset val="1"/>
    </font>
    <font>
      <sz val="8"/>
      <color rgb="FFFFFFFF"/>
      <name val="Arial"/>
      <family val="2"/>
      <charset val="1"/>
    </font>
    <font>
      <sz val="10"/>
      <color rgb="FFFFFFFF"/>
      <name val="Arial"/>
      <family val="2"/>
      <charset val="1"/>
    </font>
    <font>
      <b val="true"/>
      <sz val="10"/>
      <color rgb="FFFFFF00"/>
      <name val="Arial"/>
      <family val="2"/>
      <charset val="1"/>
    </font>
    <font>
      <sz val="10"/>
      <color rgb="FFFFFF00"/>
      <name val="Arial"/>
      <family val="2"/>
      <charset val="1"/>
    </font>
    <font>
      <sz val="10.5"/>
      <color rgb="FF000000"/>
      <name val="Calibri"/>
      <family val="0"/>
    </font>
    <font>
      <sz val="8"/>
      <color rgb="FF000000"/>
      <name val="Segoe UI"/>
      <family val="0"/>
      <charset val="1"/>
    </font>
    <font>
      <b val="true"/>
      <sz val="10"/>
      <color rgb="FF0000FF"/>
      <name val="Arial"/>
      <family val="2"/>
      <charset val="1"/>
    </font>
    <font>
      <b val="true"/>
      <u val="single"/>
      <sz val="15"/>
      <name val="Arial"/>
      <family val="2"/>
      <charset val="1"/>
    </font>
    <font>
      <b val="true"/>
      <sz val="20"/>
      <color rgb="FFFF0000"/>
      <name val="Arial"/>
      <family val="2"/>
      <charset val="1"/>
    </font>
    <font>
      <sz val="11"/>
      <name val="Arial"/>
      <family val="2"/>
      <charset val="1"/>
    </font>
    <font>
      <b val="true"/>
      <sz val="12"/>
      <color rgb="FFFF0000"/>
      <name val="Arial"/>
      <family val="2"/>
      <charset val="1"/>
    </font>
    <font>
      <sz val="11"/>
      <color rgb="FFFFFFFF"/>
      <name val="Arial"/>
      <family val="2"/>
      <charset val="1"/>
    </font>
    <font>
      <b val="true"/>
      <sz val="11"/>
      <color rgb="FF0000FF"/>
      <name val="Arial"/>
      <family val="2"/>
      <charset val="1"/>
    </font>
    <font>
      <b val="true"/>
      <sz val="18"/>
      <name val="Arial"/>
      <family val="2"/>
      <charset val="1"/>
    </font>
    <font>
      <sz val="10.5"/>
      <name val="Arial"/>
      <family val="2"/>
      <charset val="1"/>
    </font>
    <font>
      <i val="true"/>
      <sz val="12"/>
      <name val="Calibri"/>
      <family val="2"/>
      <charset val="1"/>
    </font>
    <font>
      <i val="true"/>
      <u val="single"/>
      <sz val="12"/>
      <name val="Calibri"/>
      <family val="2"/>
      <charset val="1"/>
    </font>
    <font>
      <u val="single"/>
      <sz val="10"/>
      <name val="Arial"/>
      <family val="2"/>
      <charset val="1"/>
    </font>
    <font>
      <sz val="12"/>
      <name val="Arial"/>
      <family val="2"/>
      <charset val="1"/>
    </font>
    <font>
      <b val="true"/>
      <sz val="9"/>
      <color rgb="FF000000"/>
      <name val="Arial"/>
      <family val="0"/>
    </font>
    <font>
      <sz val="14"/>
      <color rgb="FFFFFFFF"/>
      <name val="Arial"/>
      <family val="2"/>
      <charset val="1"/>
    </font>
    <font>
      <sz val="8"/>
      <name val="Arial"/>
      <family val="2"/>
      <charset val="1"/>
    </font>
    <font>
      <b val="true"/>
      <sz val="10"/>
      <color rgb="FFFF0000"/>
      <name val="Arial"/>
      <family val="2"/>
      <charset val="1"/>
    </font>
    <font>
      <b val="true"/>
      <sz val="10"/>
      <color rgb="FF808080"/>
      <name val="Arial"/>
      <family val="2"/>
      <charset val="1"/>
    </font>
    <font>
      <sz val="10"/>
      <color rgb="FF000000"/>
      <name val="Arial"/>
      <family val="0"/>
    </font>
    <font>
      <b val="true"/>
      <sz val="10"/>
      <color rgb="FF000000"/>
      <name val="Arial"/>
      <family val="2"/>
      <charset val="1"/>
    </font>
    <font>
      <b val="true"/>
      <sz val="10"/>
      <color rgb="FF000000"/>
      <name val="Arial"/>
      <family val="0"/>
    </font>
    <font>
      <b val="true"/>
      <sz val="9"/>
      <color rgb="FFFFFFFF"/>
      <name val="Arial"/>
      <family val="0"/>
    </font>
    <font>
      <sz val="14"/>
      <color rgb="FFFFFFFF"/>
      <name val="Arial Black"/>
      <family val="2"/>
      <charset val="1"/>
    </font>
  </fonts>
  <fills count="27">
    <fill>
      <patternFill patternType="none"/>
    </fill>
    <fill>
      <patternFill patternType="gray125"/>
    </fill>
    <fill>
      <patternFill patternType="solid">
        <fgColor rgb="FFC0C0FF"/>
        <bgColor rgb="FFA6CAF0"/>
      </patternFill>
    </fill>
    <fill>
      <patternFill patternType="solid">
        <fgColor rgb="FFCC9CCC"/>
        <bgColor rgb="FFCC99FF"/>
      </patternFill>
    </fill>
    <fill>
      <patternFill patternType="solid">
        <fgColor rgb="FFCCFFCC"/>
        <bgColor rgb="FFE3E3E3"/>
      </patternFill>
    </fill>
    <fill>
      <patternFill patternType="solid">
        <fgColor rgb="FFCC99FF"/>
        <bgColor rgb="FFCC9CCC"/>
      </patternFill>
    </fill>
    <fill>
      <patternFill patternType="solid">
        <fgColor rgb="FFA0E0E0"/>
        <bgColor rgb="FFA6CAF0"/>
      </patternFill>
    </fill>
    <fill>
      <patternFill patternType="solid">
        <fgColor rgb="FFE3E3E3"/>
        <bgColor rgb="FFD9D9D9"/>
      </patternFill>
    </fill>
    <fill>
      <patternFill patternType="solid">
        <fgColor rgb="FFA6CAF0"/>
        <bgColor rgb="FFC0C0FF"/>
      </patternFill>
    </fill>
    <fill>
      <patternFill patternType="solid">
        <fgColor rgb="FFFF8080"/>
        <bgColor rgb="FFCC9CCC"/>
      </patternFill>
    </fill>
    <fill>
      <patternFill patternType="solid">
        <fgColor rgb="FF00FF00"/>
        <bgColor rgb="FF33CCCC"/>
      </patternFill>
    </fill>
    <fill>
      <patternFill patternType="solid">
        <fgColor rgb="FF999933"/>
        <bgColor rgb="FF969696"/>
      </patternFill>
    </fill>
    <fill>
      <patternFill patternType="solid">
        <fgColor rgb="FF0080C0"/>
        <bgColor rgb="FF008080"/>
      </patternFill>
    </fill>
    <fill>
      <patternFill patternType="solid">
        <fgColor rgb="FF800080"/>
        <bgColor rgb="FF800080"/>
      </patternFill>
    </fill>
    <fill>
      <patternFill patternType="solid">
        <fgColor rgb="FF33CCCC"/>
        <bgColor rgb="FF00CCFF"/>
      </patternFill>
    </fill>
    <fill>
      <patternFill patternType="solid">
        <fgColor rgb="FF996633"/>
        <bgColor rgb="FF996666"/>
      </patternFill>
    </fill>
    <fill>
      <patternFill patternType="solid">
        <fgColor rgb="FF333399"/>
        <bgColor rgb="FF3333CC"/>
      </patternFill>
    </fill>
    <fill>
      <patternFill patternType="solid">
        <fgColor rgb="FFFF0000"/>
        <bgColor rgb="FF800000"/>
      </patternFill>
    </fill>
    <fill>
      <patternFill patternType="solid">
        <fgColor rgb="FF336666"/>
        <bgColor rgb="FF424242"/>
      </patternFill>
    </fill>
    <fill>
      <patternFill patternType="solid">
        <fgColor rgb="FF996666"/>
        <bgColor rgb="FF996633"/>
      </patternFill>
    </fill>
    <fill>
      <patternFill patternType="solid">
        <fgColor rgb="FFC0C0C0"/>
        <bgColor rgb="FFC0C0FF"/>
      </patternFill>
    </fill>
    <fill>
      <patternFill patternType="solid">
        <fgColor rgb="FF969696"/>
        <bgColor rgb="FF808080"/>
      </patternFill>
    </fill>
    <fill>
      <patternFill patternType="solid">
        <fgColor rgb="FFFFFF99"/>
        <bgColor rgb="FFFFFF9E"/>
      </patternFill>
    </fill>
    <fill>
      <patternFill patternType="solid">
        <fgColor rgb="FFFFFFC0"/>
        <bgColor rgb="FFFFFF9E"/>
      </patternFill>
    </fill>
    <fill>
      <patternFill patternType="solid">
        <fgColor rgb="FF000000"/>
        <bgColor rgb="FF003300"/>
      </patternFill>
    </fill>
    <fill>
      <patternFill patternType="solid">
        <fgColor rgb="FF808080"/>
        <bgColor rgb="FF969696"/>
      </patternFill>
    </fill>
    <fill>
      <patternFill patternType="solid">
        <fgColor rgb="FFFFFFFF"/>
        <bgColor rgb="FFFFFFC0"/>
      </patternFill>
    </fill>
  </fills>
  <borders count="38">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double">
        <color rgb="FF424242"/>
      </left>
      <right style="double">
        <color rgb="FF424242"/>
      </right>
      <top style="double">
        <color rgb="FF424242"/>
      </top>
      <bottom style="double">
        <color rgb="FF424242"/>
      </bottom>
      <diagonal/>
    </border>
    <border diagonalUp="false" diagonalDown="false">
      <left/>
      <right/>
      <top/>
      <bottom style="thick">
        <color rgb="FF333399"/>
      </bottom>
      <diagonal/>
    </border>
    <border diagonalUp="false" diagonalDown="false">
      <left/>
      <right/>
      <top/>
      <bottom style="thick">
        <color rgb="FFC0C0C0"/>
      </bottom>
      <diagonal/>
    </border>
    <border diagonalUp="false" diagonalDown="false">
      <left/>
      <right/>
      <top/>
      <bottom style="medium">
        <color rgb="FF0080C0"/>
      </bottom>
      <diagonal/>
    </border>
    <border diagonalUp="false" diagonalDown="false">
      <left/>
      <right/>
      <top/>
      <bottom style="double">
        <color rgb="FF996633"/>
      </bottom>
      <diagonal/>
    </border>
    <border diagonalUp="false" diagonalDown="false">
      <left style="thin">
        <color rgb="FFC0C0C0"/>
      </left>
      <right style="thin">
        <color rgb="FFC0C0C0"/>
      </right>
      <top style="thin">
        <color rgb="FFC0C0C0"/>
      </top>
      <bottom style="thin">
        <color rgb="FFC0C0C0"/>
      </bottom>
      <diagonal/>
    </border>
    <border diagonalUp="false" diagonalDown="false">
      <left style="thin">
        <color rgb="FF424242"/>
      </left>
      <right style="thin">
        <color rgb="FF424242"/>
      </right>
      <top style="thin">
        <color rgb="FF424242"/>
      </top>
      <bottom style="thin">
        <color rgb="FF424242"/>
      </bottom>
      <diagonal/>
    </border>
    <border diagonalUp="false" diagonalDown="false">
      <left style="thin"/>
      <right/>
      <top style="thin"/>
      <bottom/>
      <diagonal/>
    </border>
    <border diagonalUp="false" diagonalDown="false">
      <left/>
      <right style="thin"/>
      <top style="thin"/>
      <bottom style="thin"/>
      <diagonal/>
    </border>
    <border diagonalUp="false" diagonalDown="false">
      <left style="thin"/>
      <right/>
      <top/>
      <bottom style="thin"/>
      <diagonal/>
    </border>
    <border diagonalUp="false" diagonalDown="false">
      <left style="medium"/>
      <right/>
      <top/>
      <bottom/>
      <diagonal/>
    </border>
    <border diagonalUp="false" diagonalDown="false">
      <left style="thin"/>
      <right style="thin"/>
      <top/>
      <bottom/>
      <diagonal/>
    </border>
    <border diagonalUp="false" diagonalDown="false">
      <left style="thin"/>
      <right style="thin"/>
      <top/>
      <bottom style="thin"/>
      <diagonal/>
    </border>
    <border diagonalUp="false" diagonalDown="false">
      <left style="thin"/>
      <right/>
      <top/>
      <bottom/>
      <diagonal/>
    </border>
    <border diagonalUp="false" diagonalDown="false">
      <left/>
      <right style="thin"/>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right/>
      <top style="thin"/>
      <bottom/>
      <diagonal/>
    </border>
    <border diagonalUp="false" diagonalDown="false">
      <left style="thin"/>
      <right style="thin"/>
      <top style="thin"/>
      <bottom/>
      <diagonal/>
    </border>
    <border diagonalUp="false" diagonalDown="false">
      <left style="thin"/>
      <right style="hair"/>
      <top style="thin"/>
      <bottom style="thin"/>
      <diagonal/>
    </border>
    <border diagonalUp="false" diagonalDown="false">
      <left style="hair"/>
      <right style="thin"/>
      <top style="thin"/>
      <bottom style="thin"/>
      <diagonal/>
    </border>
    <border diagonalUp="false" diagonalDown="false">
      <left style="thin"/>
      <right/>
      <top style="hair"/>
      <bottom style="hair"/>
      <diagonal/>
    </border>
    <border diagonalUp="false" diagonalDown="false">
      <left style="thin"/>
      <right style="hair"/>
      <top style="hair"/>
      <bottom style="hair"/>
      <diagonal/>
    </border>
    <border diagonalUp="false" diagonalDown="false">
      <left style="hair"/>
      <right style="hair"/>
      <top style="hair"/>
      <bottom style="hair"/>
      <diagonal/>
    </border>
    <border diagonalUp="false" diagonalDown="false">
      <left style="hair"/>
      <right style="thin"/>
      <top style="hair"/>
      <bottom style="hair"/>
      <diagonal/>
    </border>
    <border diagonalUp="false" diagonalDown="false">
      <left style="thin"/>
      <right/>
      <top style="thin"/>
      <bottom style="thin"/>
      <diagonal/>
    </border>
    <border diagonalUp="false" diagonalDown="false">
      <left/>
      <right/>
      <top style="thin"/>
      <bottom style="thin"/>
      <diagonal/>
    </border>
    <border diagonalUp="false" diagonalDown="false">
      <left style="hair"/>
      <right style="hair"/>
      <top style="thin"/>
      <bottom style="thin"/>
      <diagonal/>
    </border>
    <border diagonalUp="false" diagonalDown="false">
      <left style="hair"/>
      <right style="hair"/>
      <top/>
      <bottom/>
      <diagonal/>
    </border>
    <border diagonalUp="false" diagonalDown="false">
      <left style="thin"/>
      <right style="thin"/>
      <top style="hair"/>
      <bottom/>
      <diagonal/>
    </border>
    <border diagonalUp="false" diagonalDown="false">
      <left style="hair"/>
      <right style="hair"/>
      <top style="hair"/>
      <bottom/>
      <diagonal/>
    </border>
    <border diagonalUp="false" diagonalDown="false">
      <left style="thin"/>
      <right style="thin"/>
      <top style="hair"/>
      <bottom style="hair"/>
      <diagonal/>
    </border>
    <border diagonalUp="false" diagonalDown="false">
      <left style="thin"/>
      <right/>
      <top style="hair"/>
      <bottom/>
      <diagonal/>
    </border>
    <border diagonalUp="false" diagonalDown="false">
      <left/>
      <right style="thin"/>
      <top style="hair"/>
      <bottom/>
      <diagonal/>
    </border>
    <border diagonalUp="false" diagonalDown="false">
      <left/>
      <right/>
      <top style="hair"/>
      <bottom/>
      <diagonal/>
    </border>
    <border diagonalUp="false" diagonalDown="false">
      <left style="thin"/>
      <right style="thin"/>
      <top/>
      <bottom style="hair"/>
      <diagonal/>
    </border>
  </borders>
  <cellStyleXfs count="6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73"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70" fontId="0" fillId="0"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5" fillId="12" borderId="0" applyFont="true" applyBorder="false" applyAlignment="true" applyProtection="false">
      <alignment horizontal="general" vertical="bottom" textRotation="0" wrapText="false" indent="0" shrinkToFit="false"/>
    </xf>
    <xf numFmtId="164" fontId="5" fillId="9" borderId="0" applyFont="true" applyBorder="false" applyAlignment="true" applyProtection="false">
      <alignment horizontal="general" vertical="bottom" textRotation="0" wrapText="false" indent="0" shrinkToFit="false"/>
    </xf>
    <xf numFmtId="164" fontId="5" fillId="10"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5"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7"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3"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9" borderId="0" applyFont="true" applyBorder="false" applyAlignment="true" applyProtection="false">
      <alignment horizontal="general" vertical="bottom" textRotation="0" wrapText="false" indent="0" shrinkToFit="false"/>
    </xf>
    <xf numFmtId="164" fontId="6" fillId="3" borderId="0" applyFont="true" applyBorder="false" applyAlignment="true" applyProtection="false">
      <alignment horizontal="general" vertical="bottom" textRotation="0" wrapText="false" indent="0" shrinkToFit="false"/>
    </xf>
    <xf numFmtId="164" fontId="7" fillId="20" borderId="1" applyFont="true" applyBorder="true" applyAlignment="true" applyProtection="false">
      <alignment horizontal="general" vertical="bottom" textRotation="0" wrapText="false" indent="0" shrinkToFit="false"/>
    </xf>
    <xf numFmtId="164" fontId="8" fillId="21" borderId="2" applyFont="true" applyBorder="true" applyAlignment="true" applyProtection="false">
      <alignment horizontal="general" vertical="bottom" textRotation="0" wrapText="false" indent="0" shrinkToFit="false"/>
    </xf>
    <xf numFmtId="164" fontId="9" fillId="0" borderId="0" applyFont="true" applyBorder="false" applyAlignment="true" applyProtection="false">
      <alignment horizontal="general" vertical="bottom" textRotation="0" wrapText="false" indent="0" shrinkToFit="false"/>
    </xf>
    <xf numFmtId="164" fontId="10" fillId="4" borderId="0" applyFont="true" applyBorder="false" applyAlignment="true" applyProtection="false">
      <alignment horizontal="general" vertical="bottom" textRotation="0" wrapText="false" indent="0" shrinkToFit="false"/>
    </xf>
    <xf numFmtId="164" fontId="11" fillId="0" borderId="3" applyFont="true" applyBorder="true" applyAlignment="true" applyProtection="false">
      <alignment horizontal="general" vertical="bottom" textRotation="0" wrapText="false" indent="0" shrinkToFit="false"/>
    </xf>
    <xf numFmtId="164" fontId="12" fillId="0" borderId="4" applyFont="true" applyBorder="true" applyAlignment="true" applyProtection="false">
      <alignment horizontal="general" vertical="bottom" textRotation="0" wrapText="false" indent="0" shrinkToFit="false"/>
    </xf>
    <xf numFmtId="164" fontId="13" fillId="0" borderId="5" applyFont="true" applyBorder="true" applyAlignment="true" applyProtection="false">
      <alignment horizontal="general" vertical="bottom" textRotation="0" wrapText="false" indent="0" shrinkToFit="false"/>
    </xf>
    <xf numFmtId="164" fontId="13" fillId="0" borderId="0" applyFont="true" applyBorder="false" applyAlignment="true" applyProtection="false">
      <alignment horizontal="general" vertical="bottom" textRotation="0" wrapText="false" indent="0" shrinkToFit="false"/>
    </xf>
    <xf numFmtId="164" fontId="14" fillId="7" borderId="1"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5" fontId="0" fillId="0" borderId="0" applyFont="true" applyBorder="false" applyAlignment="true" applyProtection="false">
      <alignment horizontal="general" vertical="bottom" textRotation="0" wrapText="false" indent="0" shrinkToFit="false"/>
    </xf>
    <xf numFmtId="166" fontId="0" fillId="0" borderId="0" applyFont="true" applyBorder="false" applyAlignment="true" applyProtection="false">
      <alignment horizontal="general" vertical="bottom" textRotation="0" wrapText="false" indent="0" shrinkToFit="false"/>
    </xf>
    <xf numFmtId="164" fontId="16" fillId="22" borderId="0" applyFont="true" applyBorder="false" applyAlignment="true" applyProtection="false">
      <alignment horizontal="general" vertical="bottom" textRotation="0" wrapText="false" indent="0" shrinkToFit="false"/>
    </xf>
    <xf numFmtId="164" fontId="17" fillId="0" borderId="0" applyFont="true" applyBorder="true" applyAlignment="true" applyProtection="true">
      <alignment horizontal="general" vertical="bottom" textRotation="0" wrapText="false" indent="0" shrinkToFit="false"/>
      <protection locked="true" hidden="false"/>
    </xf>
    <xf numFmtId="164" fontId="18" fillId="0" borderId="0" applyFont="true" applyBorder="true" applyAlignment="true" applyProtection="true">
      <alignment horizontal="general" vertical="bottom" textRotation="0" wrapText="false" indent="0" shrinkToFit="false"/>
      <protection locked="true" hidden="false"/>
    </xf>
    <xf numFmtId="164" fontId="0" fillId="23" borderId="7" applyFont="true" applyBorder="true" applyAlignment="true" applyProtection="false">
      <alignment horizontal="general" vertical="bottom" textRotation="0" wrapText="false" indent="0" shrinkToFit="false"/>
    </xf>
    <xf numFmtId="164" fontId="19" fillId="20" borderId="8" applyFont="true" applyBorder="true" applyAlignment="true" applyProtection="false">
      <alignment horizontal="general" vertical="bottom" textRotation="0" wrapText="false" indent="0" shrinkToFit="false"/>
    </xf>
    <xf numFmtId="164" fontId="20" fillId="0" borderId="0" applyFont="true" applyBorder="false" applyAlignment="true" applyProtection="false">
      <alignment horizontal="general" vertical="bottom" textRotation="0" wrapText="false" indent="0" shrinkToFit="false"/>
    </xf>
    <xf numFmtId="164" fontId="21" fillId="0" borderId="0" applyFont="true" applyBorder="false" applyAlignment="true" applyProtection="false">
      <alignment horizontal="general" vertical="bottom" textRotation="0" wrapText="false" indent="0" shrinkToFit="false"/>
    </xf>
  </cellStyleXfs>
  <cellXfs count="30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center" vertical="bottom" textRotation="0" wrapText="false" indent="0" shrinkToFit="false"/>
      <protection locked="true" hidden="false"/>
    </xf>
    <xf numFmtId="167" fontId="0" fillId="20" borderId="9" xfId="0" applyFont="false" applyBorder="true" applyAlignment="true" applyProtection="true">
      <alignment horizontal="left" vertical="bottom" textRotation="0" wrapText="false" indent="0" shrinkToFit="false"/>
      <protection locked="true" hidden="false"/>
    </xf>
    <xf numFmtId="164" fontId="22" fillId="20" borderId="10" xfId="0" applyFont="true" applyBorder="true" applyAlignment="true" applyProtection="true">
      <alignment horizontal="center" vertical="center" textRotation="0" wrapText="true" indent="0" shrinkToFit="false"/>
      <protection locked="true" hidden="false"/>
    </xf>
    <xf numFmtId="164" fontId="17" fillId="20" borderId="11" xfId="0" applyFont="true" applyBorder="true" applyAlignment="true" applyProtection="true">
      <alignment horizontal="left" vertical="bottom" textRotation="0" wrapText="false" indent="0" shrinkToFit="false"/>
      <protection locked="true" hidden="false"/>
    </xf>
    <xf numFmtId="164" fontId="23" fillId="0" borderId="0" xfId="0" applyFont="true" applyBorder="true" applyAlignment="true" applyProtection="true">
      <alignment horizontal="center" vertical="center" textRotation="0" wrapText="tru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17" fillId="0" borderId="0" xfId="0" applyFont="true" applyBorder="false" applyAlignment="true" applyProtection="true">
      <alignment horizontal="center" vertical="bottom" textRotation="0" wrapText="false" indent="0" shrinkToFit="false"/>
      <protection locked="true" hidden="false"/>
    </xf>
    <xf numFmtId="164" fontId="17" fillId="0" borderId="12" xfId="0" applyFont="true" applyBorder="true" applyAlignment="true" applyProtection="true">
      <alignment horizontal="left" vertical="top" textRotation="0" wrapText="true" indent="0" shrinkToFit="false"/>
      <protection locked="true" hidden="false"/>
    </xf>
    <xf numFmtId="164" fontId="17" fillId="0" borderId="0" xfId="0" applyFont="true" applyBorder="true" applyAlignment="true" applyProtection="true">
      <alignment horizontal="left" vertical="bottom" textRotation="0" wrapText="true" indent="0" shrinkToFit="false"/>
      <protection locked="true" hidden="false"/>
    </xf>
    <xf numFmtId="164" fontId="17" fillId="0" borderId="0" xfId="0" applyFont="true" applyBorder="true" applyAlignment="true" applyProtection="true">
      <alignment horizontal="general" vertical="bottom" textRotation="0" wrapText="true" indent="0" shrinkToFit="false"/>
      <protection locked="true" hidden="false"/>
    </xf>
    <xf numFmtId="164" fontId="17" fillId="0" borderId="0" xfId="0" applyFont="true" applyBorder="true" applyAlignment="true" applyProtection="true">
      <alignment horizontal="left" vertical="bottom" textRotation="0" wrapText="true" indent="1" shrinkToFit="false"/>
      <protection locked="true" hidden="false"/>
    </xf>
    <xf numFmtId="164" fontId="17" fillId="0" borderId="12" xfId="0" applyFont="true" applyBorder="true" applyAlignment="true" applyProtection="true">
      <alignment horizontal="left" vertical="bottom" textRotation="0" wrapText="true" indent="0" shrinkToFit="false"/>
      <protection locked="true" hidden="false"/>
    </xf>
    <xf numFmtId="164" fontId="24" fillId="0" borderId="12" xfId="0" applyFont="true" applyBorder="true" applyAlignment="true" applyProtection="true">
      <alignment horizontal="left" vertical="bottom" textRotation="0" wrapText="true" indent="0" shrinkToFit="false"/>
      <protection locked="true" hidden="false"/>
    </xf>
    <xf numFmtId="164" fontId="24" fillId="0" borderId="0" xfId="0" applyFont="true" applyBorder="true" applyAlignment="true" applyProtection="true">
      <alignment horizontal="left" vertical="bottom" textRotation="0" wrapText="true" indent="1" shrinkToFit="false"/>
      <protection locked="true" hidden="false"/>
    </xf>
    <xf numFmtId="164" fontId="24" fillId="0" borderId="0" xfId="0" applyFont="true" applyBorder="true" applyAlignment="true" applyProtection="true">
      <alignment horizontal="general" vertical="bottom" textRotation="0" wrapText="true" indent="0" shrinkToFit="false"/>
      <protection locked="true" hidden="false"/>
    </xf>
    <xf numFmtId="164" fontId="24" fillId="0" borderId="0" xfId="0" applyFont="true" applyBorder="false" applyAlignment="true" applyProtection="true">
      <alignment horizontal="left" vertical="bottom" textRotation="0" wrapText="false" indent="1" shrinkToFit="false"/>
      <protection locked="true" hidden="false"/>
    </xf>
    <xf numFmtId="164" fontId="17" fillId="0" borderId="0" xfId="0" applyFont="true" applyBorder="true" applyAlignment="true" applyProtection="true">
      <alignment horizontal="left" vertical="bottom" textRotation="0" wrapText="true" indent="3" shrinkToFit="false"/>
      <protection locked="true" hidden="false"/>
    </xf>
    <xf numFmtId="164" fontId="0" fillId="0" borderId="0" xfId="0" applyFont="false" applyBorder="false" applyAlignment="true" applyProtection="true">
      <alignment horizontal="left" vertical="bottom" textRotation="0" wrapText="true" indent="0" shrinkToFit="false"/>
      <protection locked="true" hidden="false"/>
    </xf>
    <xf numFmtId="164" fontId="24" fillId="0" borderId="13" xfId="59" applyFont="true" applyBorder="true" applyAlignment="true" applyProtection="true">
      <alignment horizontal="left" vertical="top" textRotation="0" wrapText="false" indent="0" shrinkToFit="false"/>
      <protection locked="true" hidden="false"/>
    </xf>
    <xf numFmtId="164" fontId="17" fillId="22" borderId="14" xfId="0" applyFont="true" applyBorder="true" applyAlignment="true" applyProtection="true">
      <alignment horizontal="left" vertical="top" textRotation="0" wrapText="true" indent="0" shrinkToFit="false"/>
      <protection locked="false" hidden="false"/>
    </xf>
    <xf numFmtId="164" fontId="0" fillId="22" borderId="14" xfId="0" applyFont="false" applyBorder="true" applyAlignment="true" applyProtection="true">
      <alignment horizontal="left" vertical="top" textRotation="0" wrapText="true" indent="0" shrinkToFit="false"/>
      <protection locked="fals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8" fontId="17" fillId="22" borderId="14" xfId="0" applyFont="true" applyBorder="true" applyAlignment="true" applyProtection="true">
      <alignment horizontal="left" vertical="top" textRotation="0" wrapText="true" indent="0" shrinkToFit="false"/>
      <protection locked="fals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3" shrinkToFit="false"/>
      <protection locked="true" hidden="false"/>
    </xf>
    <xf numFmtId="164" fontId="24" fillId="0" borderId="15" xfId="59" applyFont="true" applyBorder="true" applyAlignment="true" applyProtection="true">
      <alignment horizontal="general" vertical="top" textRotation="0" wrapText="false" indent="0" shrinkToFit="false"/>
      <protection locked="true" hidden="false"/>
    </xf>
    <xf numFmtId="164" fontId="24" fillId="0" borderId="13" xfId="59" applyFont="true" applyBorder="true" applyAlignment="true" applyProtection="true">
      <alignment horizontal="center" vertical="top" textRotation="0" wrapText="false" indent="0" shrinkToFit="false"/>
      <protection locked="true" hidden="false"/>
    </xf>
    <xf numFmtId="169" fontId="0" fillId="22" borderId="14" xfId="0" applyFont="false" applyBorder="true" applyAlignment="true" applyProtection="true">
      <alignment horizontal="center" vertical="top" textRotation="0" wrapText="true" indent="0" shrinkToFit="false"/>
      <protection locked="false" hidden="false"/>
    </xf>
    <xf numFmtId="164" fontId="17" fillId="22" borderId="11" xfId="0" applyFont="true" applyBorder="true" applyAlignment="true" applyProtection="true">
      <alignment horizontal="general" vertical="top" textRotation="0" wrapText="true" indent="0" shrinkToFit="false"/>
      <protection locked="false" hidden="false"/>
    </xf>
    <xf numFmtId="171" fontId="17" fillId="22" borderId="14" xfId="19" applyFont="true" applyBorder="true" applyAlignment="true" applyProtection="true">
      <alignment horizontal="center" vertical="top" textRotation="0" wrapText="true" indent="0" shrinkToFit="false"/>
      <protection locked="true" hidden="false"/>
    </xf>
    <xf numFmtId="171" fontId="0" fillId="0" borderId="14" xfId="19" applyFont="true" applyBorder="true" applyAlignment="true" applyProtection="true">
      <alignment horizontal="center" vertical="top" textRotation="0" wrapText="true" indent="0" shrinkToFit="false"/>
      <protection locked="true" hidden="false"/>
    </xf>
    <xf numFmtId="164" fontId="24" fillId="0" borderId="15" xfId="59" applyFont="true" applyBorder="true" applyAlignment="true" applyProtection="true">
      <alignment horizontal="left" vertical="top" textRotation="0" wrapText="false" indent="0" shrinkToFit="false"/>
      <protection locked="true" hidden="false"/>
    </xf>
    <xf numFmtId="164" fontId="25" fillId="0" borderId="13" xfId="59" applyFont="true" applyBorder="true" applyAlignment="true" applyProtection="true">
      <alignment horizontal="left" vertical="top" textRotation="0" wrapText="false" indent="0" shrinkToFit="false"/>
      <protection locked="true" hidden="false"/>
    </xf>
    <xf numFmtId="164" fontId="17" fillId="22" borderId="11" xfId="0" applyFont="true" applyBorder="true" applyAlignment="true" applyProtection="true">
      <alignment horizontal="left" vertical="top" textRotation="0" wrapText="true" indent="0" shrinkToFit="false"/>
      <protection locked="false" hidden="false"/>
    </xf>
    <xf numFmtId="171" fontId="17" fillId="22" borderId="14" xfId="19" applyFont="true" applyBorder="true" applyAlignment="true" applyProtection="true">
      <alignment horizontal="left" vertical="top" textRotation="0" wrapText="true" indent="0" shrinkToFit="false"/>
      <protection locked="false" hidden="false"/>
    </xf>
    <xf numFmtId="171" fontId="17" fillId="22" borderId="11" xfId="19" applyFont="true" applyBorder="true" applyAlignment="true" applyProtection="true">
      <alignment horizontal="left" vertical="top" textRotation="0" wrapText="true" indent="0" shrinkToFit="false"/>
      <protection locked="false" hidden="false"/>
    </xf>
    <xf numFmtId="168" fontId="17" fillId="22" borderId="14" xfId="19" applyFont="true" applyBorder="true" applyAlignment="true" applyProtection="true">
      <alignment horizontal="left" vertical="top" textRotation="0" wrapText="true" indent="0" shrinkToFit="false"/>
      <protection locked="false" hidden="false"/>
    </xf>
    <xf numFmtId="172" fontId="17" fillId="22" borderId="14" xfId="19" applyFont="true" applyBorder="true" applyAlignment="true" applyProtection="true">
      <alignment horizontal="center" vertical="top" textRotation="0" wrapText="true" indent="0" shrinkToFit="false"/>
      <protection locked="false" hidden="false"/>
    </xf>
    <xf numFmtId="164" fontId="24" fillId="0" borderId="0" xfId="59" applyFont="true" applyBorder="true" applyAlignment="true" applyProtection="true">
      <alignment horizontal="left" vertical="top" textRotation="0" wrapText="false" indent="0" shrinkToFit="false"/>
      <protection locked="true" hidden="false"/>
    </xf>
    <xf numFmtId="164" fontId="24" fillId="0" borderId="16" xfId="59" applyFont="true" applyBorder="true" applyAlignment="true" applyProtection="true">
      <alignment horizontal="left" vertical="top" textRotation="0" wrapText="false" indent="0" shrinkToFit="false"/>
      <protection locked="true" hidden="false"/>
    </xf>
    <xf numFmtId="172" fontId="0" fillId="22" borderId="14" xfId="0" applyFont="false" applyBorder="true" applyAlignment="true" applyProtection="true">
      <alignment horizontal="left" vertical="top" textRotation="0" wrapText="true" indent="0" shrinkToFit="false"/>
      <protection locked="false" hidden="false"/>
    </xf>
    <xf numFmtId="174" fontId="0" fillId="0" borderId="0" xfId="15" applyFont="true" applyBorder="true" applyAlignment="true" applyProtection="true">
      <alignment horizontal="general" vertical="bottom" textRotation="0" wrapText="false" indent="0" shrinkToFit="false"/>
      <protection locked="true" hidden="false"/>
    </xf>
    <xf numFmtId="172" fontId="26" fillId="0" borderId="0" xfId="0" applyFont="true" applyBorder="true" applyAlignment="true" applyProtection="true">
      <alignment horizontal="general" vertical="top" textRotation="0" wrapText="true" indent="0" shrinkToFit="false"/>
      <protection locked="true" hidden="false"/>
    </xf>
    <xf numFmtId="164" fontId="27" fillId="0" borderId="0" xfId="0" applyFont="true" applyBorder="false" applyAlignment="true" applyProtection="true">
      <alignment horizontal="center" vertical="bottom" textRotation="0" wrapText="false" indent="0" shrinkToFit="false"/>
      <protection locked="true" hidden="false"/>
    </xf>
    <xf numFmtId="164" fontId="27" fillId="0" borderId="0" xfId="0" applyFont="true" applyBorder="false" applyAlignment="false" applyProtection="true">
      <alignment horizontal="general" vertical="bottom" textRotation="0" wrapText="false" indent="0" shrinkToFit="false"/>
      <protection locked="true" hidden="false"/>
    </xf>
    <xf numFmtId="164" fontId="24" fillId="22" borderId="0" xfId="0" applyFont="true" applyBorder="false" applyAlignment="true" applyProtection="true">
      <alignment horizontal="general" vertical="bottom" textRotation="0" wrapText="false" indent="0" shrinkToFit="false"/>
      <protection locked="false" hidden="false"/>
    </xf>
    <xf numFmtId="164" fontId="0" fillId="0" borderId="17" xfId="0" applyFont="false" applyBorder="true" applyAlignment="true" applyProtection="true">
      <alignment horizontal="left" vertical="bottom" textRotation="0" wrapText="false" indent="0" shrinkToFit="false"/>
      <protection locked="true" hidden="false"/>
    </xf>
    <xf numFmtId="164" fontId="0" fillId="0" borderId="17" xfId="0" applyFont="false" applyBorder="true" applyAlignment="false" applyProtection="true">
      <alignment horizontal="general" vertical="bottom" textRotation="0" wrapText="false" indent="0" shrinkToFit="false"/>
      <protection locked="true" hidden="false"/>
    </xf>
    <xf numFmtId="164" fontId="0" fillId="0" borderId="0" xfId="0" applyFont="false" applyBorder="true" applyAlignment="false" applyProtection="true">
      <alignment horizontal="general" vertical="bottom" textRotation="0" wrapText="false" indent="0" shrinkToFit="false"/>
      <protection locked="true" hidden="false"/>
    </xf>
    <xf numFmtId="164" fontId="25" fillId="0" borderId="0" xfId="59" applyFont="true" applyBorder="true" applyAlignment="true" applyProtection="true">
      <alignment horizontal="left" vertical="top" textRotation="0" wrapText="false" indent="0" shrinkToFit="false"/>
      <protection locked="true" hidden="false"/>
    </xf>
    <xf numFmtId="164" fontId="17" fillId="22" borderId="0" xfId="0" applyFont="true" applyBorder="true" applyAlignment="true" applyProtection="true">
      <alignment horizontal="left" vertical="bottom" textRotation="0" wrapText="false" indent="0" shrinkToFit="false"/>
      <protection locked="false" hidden="false"/>
    </xf>
    <xf numFmtId="164" fontId="0" fillId="22" borderId="0" xfId="0" applyFont="false" applyBorder="true" applyAlignment="true" applyProtection="true">
      <alignment horizontal="left" vertical="bottom" textRotation="0" wrapText="false" indent="0" shrinkToFit="false"/>
      <protection locked="false" hidden="false"/>
    </xf>
    <xf numFmtId="168" fontId="17" fillId="22" borderId="0" xfId="0" applyFont="true" applyBorder="true" applyAlignment="true" applyProtection="true">
      <alignment horizontal="left" vertical="bottom" textRotation="0" wrapText="false" indent="0" shrinkToFit="false"/>
      <protection locked="false" hidden="false"/>
    </xf>
    <xf numFmtId="168" fontId="0" fillId="22" borderId="0" xfId="0" applyFont="false" applyBorder="true" applyAlignment="true" applyProtection="true">
      <alignment horizontal="left" vertical="bottom" textRotation="0" wrapText="false" indent="0" shrinkToFit="false"/>
      <protection locked="false" hidden="false"/>
    </xf>
    <xf numFmtId="164" fontId="28" fillId="24" borderId="0" xfId="0" applyFont="true" applyBorder="true" applyAlignment="true" applyProtection="true">
      <alignment horizontal="left" vertical="top" textRotation="0" wrapText="true" indent="3" shrinkToFit="false"/>
      <protection locked="true" hidden="false"/>
    </xf>
    <xf numFmtId="164" fontId="29" fillId="0" borderId="0" xfId="0" applyFont="true" applyBorder="false" applyAlignment="false" applyProtection="true">
      <alignment horizontal="general" vertical="bottom" textRotation="0" wrapText="false" indent="0" shrinkToFit="false"/>
      <protection locked="true" hidden="false"/>
    </xf>
    <xf numFmtId="164" fontId="17" fillId="0" borderId="0" xfId="0" applyFont="true" applyBorder="true" applyAlignment="true" applyProtection="true">
      <alignment horizontal="left" vertical="bottom" textRotation="0" wrapText="true" indent="4" shrinkToFit="false"/>
      <protection locked="true" hidden="false"/>
    </xf>
    <xf numFmtId="164" fontId="17" fillId="0" borderId="0" xfId="0" applyFont="true" applyBorder="false" applyAlignment="true" applyProtection="true">
      <alignment horizontal="left" vertical="bottom"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false"/>
    </xf>
    <xf numFmtId="171" fontId="17" fillId="0" borderId="0" xfId="19" applyFont="true" applyBorder="true" applyAlignment="true" applyProtection="true">
      <alignment horizontal="left" vertical="bottom" textRotation="0" wrapText="false" indent="0" shrinkToFit="false"/>
      <protection locked="true" hidden="false"/>
    </xf>
    <xf numFmtId="171" fontId="0" fillId="0" borderId="18" xfId="0" applyFont="false" applyBorder="true" applyAlignment="false" applyProtection="true">
      <alignment horizontal="general" vertical="bottom" textRotation="0" wrapText="false" indent="0" shrinkToFit="false"/>
      <protection locked="true" hidden="false"/>
    </xf>
    <xf numFmtId="164" fontId="0" fillId="0" borderId="0" xfId="0" applyFont="true" applyBorder="false" applyAlignment="false" applyProtection="true">
      <alignment horizontal="general" vertical="bottom" textRotation="0" wrapText="false" indent="0" shrinkToFit="false"/>
      <protection locked="true" hidden="false"/>
    </xf>
    <xf numFmtId="164" fontId="24" fillId="0" borderId="13" xfId="59" applyFont="true" applyBorder="true" applyAlignment="true" applyProtection="true">
      <alignment horizontal="left" vertical="top" textRotation="0" wrapText="false" indent="0" shrinkToFit="false"/>
      <protection locked="true" hidden="false"/>
    </xf>
    <xf numFmtId="164" fontId="0" fillId="0" borderId="14" xfId="0" applyFont="false" applyBorder="true" applyAlignment="true" applyProtection="true">
      <alignment horizontal="left" vertical="top" textRotation="0" wrapText="true" indent="0" shrinkToFit="false"/>
      <protection locked="true" hidden="false"/>
    </xf>
    <xf numFmtId="164" fontId="24" fillId="0" borderId="15" xfId="59" applyFont="true" applyBorder="true" applyAlignment="true" applyProtection="true">
      <alignment horizontal="left" vertical="top" textRotation="0" wrapText="false" indent="0" shrinkToFit="false"/>
      <protection locked="true" hidden="false"/>
    </xf>
    <xf numFmtId="168" fontId="0" fillId="0" borderId="11" xfId="0" applyFont="false" applyBorder="true" applyAlignment="true" applyProtection="true">
      <alignment horizontal="left" vertical="top" textRotation="0" wrapText="true" indent="0" shrinkToFit="false"/>
      <protection locked="true" hidden="false"/>
    </xf>
    <xf numFmtId="164" fontId="24" fillId="0" borderId="15" xfId="59" applyFont="true" applyBorder="true" applyAlignment="true" applyProtection="true">
      <alignment horizontal="general" vertical="top" textRotation="0" wrapText="false" indent="0" shrinkToFit="false"/>
      <protection locked="true" hidden="false"/>
    </xf>
    <xf numFmtId="164" fontId="24" fillId="0" borderId="13" xfId="59" applyFont="true" applyBorder="true" applyAlignment="true" applyProtection="true">
      <alignment horizontal="center" vertical="top" textRotation="0" wrapText="false" indent="0" shrinkToFit="false"/>
      <protection locked="true" hidden="false"/>
    </xf>
    <xf numFmtId="169" fontId="0" fillId="0" borderId="14" xfId="0" applyFont="false" applyBorder="true" applyAlignment="true" applyProtection="true">
      <alignment horizontal="center" vertical="top" textRotation="0" wrapText="true" indent="0" shrinkToFit="false"/>
      <protection locked="true" hidden="false"/>
    </xf>
    <xf numFmtId="164" fontId="17" fillId="0" borderId="11" xfId="0" applyFont="true" applyBorder="true" applyAlignment="true" applyProtection="true">
      <alignment horizontal="general" vertical="top" textRotation="0" wrapText="true" indent="0" shrinkToFit="false"/>
      <protection locked="true" hidden="false"/>
    </xf>
    <xf numFmtId="164" fontId="17" fillId="0" borderId="14" xfId="0" applyFont="true" applyBorder="true" applyAlignment="true" applyProtection="true">
      <alignment horizontal="left" vertical="top" textRotation="0" wrapText="true" indent="0" shrinkToFit="false"/>
      <protection locked="true" hidden="false"/>
    </xf>
    <xf numFmtId="171" fontId="17" fillId="0" borderId="14" xfId="19" applyFont="true" applyBorder="true" applyAlignment="true" applyProtection="true">
      <alignment horizontal="center" vertical="top" textRotation="0" wrapText="true" indent="0" shrinkToFit="false"/>
      <protection locked="true" hidden="false"/>
    </xf>
    <xf numFmtId="164" fontId="25" fillId="0" borderId="13" xfId="59" applyFont="true" applyBorder="true" applyAlignment="true" applyProtection="true">
      <alignment horizontal="left" vertical="top" textRotation="0" wrapText="false" indent="0" shrinkToFit="false"/>
      <protection locked="true" hidden="false"/>
    </xf>
    <xf numFmtId="164" fontId="17" fillId="0" borderId="11" xfId="0" applyFont="true" applyBorder="true" applyAlignment="true" applyProtection="true">
      <alignment horizontal="left" vertical="top" textRotation="0" wrapText="true" indent="0" shrinkToFit="false"/>
      <protection locked="true" hidden="false"/>
    </xf>
    <xf numFmtId="169" fontId="17" fillId="0" borderId="11" xfId="19" applyFont="true" applyBorder="true" applyAlignment="true" applyProtection="true">
      <alignment horizontal="left" vertical="top" textRotation="0" wrapText="true" indent="0" shrinkToFit="false"/>
      <protection locked="true" hidden="false"/>
    </xf>
    <xf numFmtId="171" fontId="17" fillId="0" borderId="14" xfId="19" applyFont="true" applyBorder="true" applyAlignment="true" applyProtection="true">
      <alignment horizontal="left" vertical="top" textRotation="0" wrapText="true" indent="0" shrinkToFit="false"/>
      <protection locked="true" hidden="false"/>
    </xf>
    <xf numFmtId="171" fontId="17" fillId="0" borderId="11" xfId="19" applyFont="true" applyBorder="true" applyAlignment="true" applyProtection="true">
      <alignment horizontal="left" vertical="top" textRotation="0" wrapText="true" indent="0" shrinkToFit="false"/>
      <protection locked="true" hidden="false"/>
    </xf>
    <xf numFmtId="172" fontId="17" fillId="0" borderId="14" xfId="19" applyFont="true" applyBorder="true" applyAlignment="true" applyProtection="true">
      <alignment horizontal="center" vertical="top" textRotation="0" wrapText="true" indent="0" shrinkToFit="false"/>
      <protection locked="true" hidden="false"/>
    </xf>
    <xf numFmtId="164" fontId="17" fillId="0" borderId="0" xfId="58" applyFont="true" applyBorder="false" applyAlignment="false" applyProtection="true">
      <alignment horizontal="general" vertical="bottom" textRotation="0" wrapText="false" indent="0" shrinkToFit="false"/>
      <protection locked="true" hidden="false"/>
    </xf>
    <xf numFmtId="164" fontId="24" fillId="0" borderId="0" xfId="58" applyFont="true" applyBorder="false" applyAlignment="true" applyProtection="true">
      <alignment horizontal="center" vertical="bottom" textRotation="0" wrapText="false" indent="0" shrinkToFit="false"/>
      <protection locked="true" hidden="false"/>
    </xf>
    <xf numFmtId="164" fontId="22" fillId="0" borderId="0" xfId="58" applyFont="true" applyBorder="false" applyAlignment="true" applyProtection="true">
      <alignment horizontal="center" vertical="bottom" textRotation="0" wrapText="false" indent="0" shrinkToFit="false"/>
      <protection locked="true" hidden="false"/>
    </xf>
    <xf numFmtId="164" fontId="24" fillId="0" borderId="18" xfId="58" applyFont="true" applyBorder="true" applyAlignment="true" applyProtection="true">
      <alignment horizontal="center" vertical="bottom" textRotation="0" wrapText="false" indent="0" shrinkToFit="false"/>
      <protection locked="true" hidden="false"/>
    </xf>
    <xf numFmtId="171" fontId="32" fillId="0" borderId="18" xfId="58" applyFont="true" applyBorder="true" applyAlignment="true" applyProtection="true">
      <alignment horizontal="center" vertical="bottom" textRotation="0" wrapText="false" indent="0" shrinkToFit="false"/>
      <protection locked="true" hidden="false"/>
    </xf>
    <xf numFmtId="164" fontId="17" fillId="0" borderId="14" xfId="58" applyFont="true" applyBorder="true" applyAlignment="true" applyProtection="true">
      <alignment horizontal="left" vertical="top" textRotation="0" wrapText="true" indent="0" shrinkToFit="false"/>
      <protection locked="true" hidden="false"/>
    </xf>
    <xf numFmtId="168" fontId="17" fillId="0" borderId="14" xfId="58" applyFont="true" applyBorder="true" applyAlignment="true" applyProtection="true">
      <alignment horizontal="left" vertical="top" textRotation="0" wrapText="true" indent="0" shrinkToFit="false"/>
      <protection locked="true" hidden="false"/>
    </xf>
    <xf numFmtId="164" fontId="33" fillId="0" borderId="0" xfId="58" applyFont="true" applyBorder="false" applyAlignment="true" applyProtection="true">
      <alignment horizontal="general" vertical="bottom" textRotation="0" wrapText="false" indent="0" shrinkToFit="false"/>
      <protection locked="true" hidden="false"/>
    </xf>
    <xf numFmtId="164" fontId="24" fillId="0" borderId="0" xfId="58" applyFont="true" applyBorder="false" applyAlignment="false" applyProtection="true">
      <alignment horizontal="general" vertical="bottom" textRotation="0" wrapText="false" indent="0" shrinkToFit="false"/>
      <protection locked="true" hidden="false"/>
    </xf>
    <xf numFmtId="164" fontId="24" fillId="0" borderId="18" xfId="58" applyFont="true" applyBorder="true" applyAlignment="true" applyProtection="true">
      <alignment horizontal="center" vertical="center" textRotation="0" wrapText="true" indent="0" shrinkToFit="false"/>
      <protection locked="true" hidden="false"/>
    </xf>
    <xf numFmtId="164" fontId="18" fillId="0" borderId="14" xfId="56" applyFont="true" applyBorder="true" applyAlignment="true" applyProtection="true">
      <alignment horizontal="left" vertical="bottom" textRotation="0" wrapText="true" indent="0" shrinkToFit="false"/>
      <protection locked="true" hidden="false"/>
    </xf>
    <xf numFmtId="166" fontId="18" fillId="22" borderId="14" xfId="56" applyFont="true" applyBorder="true" applyAlignment="true" applyProtection="true">
      <alignment horizontal="left" vertical="bottom" textRotation="0" wrapText="false" indent="0" shrinkToFit="false"/>
      <protection locked="false" hidden="false"/>
    </xf>
    <xf numFmtId="164" fontId="17" fillId="0" borderId="14" xfId="58" applyFont="true" applyBorder="true" applyAlignment="true" applyProtection="true">
      <alignment horizontal="center" vertical="top" textRotation="0" wrapText="true" indent="0" shrinkToFit="false"/>
      <protection locked="true" hidden="false"/>
    </xf>
    <xf numFmtId="164" fontId="18" fillId="0" borderId="18" xfId="58" applyFont="true" applyBorder="true" applyAlignment="true" applyProtection="true">
      <alignment horizontal="left" vertical="bottom" textRotation="0" wrapText="true" indent="0" shrinkToFit="false"/>
      <protection locked="true" hidden="false"/>
    </xf>
    <xf numFmtId="171" fontId="18" fillId="22" borderId="18" xfId="58" applyFont="true" applyBorder="true" applyAlignment="true" applyProtection="true">
      <alignment horizontal="center" vertical="bottom" textRotation="0" wrapText="false" indent="0" shrinkToFit="false"/>
      <protection locked="false" hidden="false"/>
    </xf>
    <xf numFmtId="164" fontId="18" fillId="0" borderId="18" xfId="58" applyFont="true" applyBorder="true" applyAlignment="true" applyProtection="true">
      <alignment horizontal="left" vertical="bottom" textRotation="0" wrapText="false" indent="0" shrinkToFit="false"/>
      <protection locked="true" hidden="false"/>
    </xf>
    <xf numFmtId="164" fontId="23" fillId="0" borderId="18" xfId="58" applyFont="true" applyBorder="true" applyAlignment="true" applyProtection="true">
      <alignment horizontal="center" vertical="center" textRotation="0" wrapText="false" indent="0" shrinkToFit="false"/>
      <protection locked="true" hidden="false"/>
    </xf>
    <xf numFmtId="175" fontId="23" fillId="0" borderId="18" xfId="58" applyFont="true" applyBorder="true" applyAlignment="true" applyProtection="true">
      <alignment horizontal="center" vertical="center" textRotation="0" wrapText="true" indent="0" shrinkToFit="false"/>
      <protection locked="true" hidden="false"/>
    </xf>
    <xf numFmtId="164" fontId="23" fillId="0" borderId="18" xfId="58" applyFont="true" applyBorder="true" applyAlignment="true" applyProtection="true">
      <alignment horizontal="center" vertical="center" textRotation="0" wrapText="false" indent="0" shrinkToFit="false"/>
      <protection locked="true" hidden="false"/>
    </xf>
    <xf numFmtId="164" fontId="24" fillId="0" borderId="18" xfId="58" applyFont="true" applyBorder="true" applyAlignment="true" applyProtection="true">
      <alignment horizontal="center" vertical="center" textRotation="0" wrapText="false" indent="0" shrinkToFit="false"/>
      <protection locked="true" hidden="false"/>
    </xf>
    <xf numFmtId="164" fontId="34" fillId="0" borderId="0" xfId="58" applyFont="true" applyBorder="true" applyAlignment="true" applyProtection="true">
      <alignment horizontal="center" vertical="top" textRotation="0" wrapText="true" indent="0" shrinkToFit="false"/>
      <protection locked="true" hidden="false"/>
    </xf>
    <xf numFmtId="164" fontId="34" fillId="0" borderId="0" xfId="58" applyFont="true" applyBorder="false" applyAlignment="true" applyProtection="true">
      <alignment horizontal="general" vertical="top" textRotation="0" wrapText="true" indent="0" shrinkToFit="false"/>
      <protection locked="true" hidden="false"/>
    </xf>
    <xf numFmtId="164" fontId="17" fillId="0" borderId="18" xfId="58" applyFont="true" applyBorder="true" applyAlignment="true" applyProtection="true">
      <alignment horizontal="left" vertical="center" textRotation="0" wrapText="true" indent="0" shrinkToFit="false"/>
      <protection locked="true" hidden="false"/>
    </xf>
    <xf numFmtId="164" fontId="35" fillId="0" borderId="18" xfId="58" applyFont="true" applyBorder="true" applyAlignment="true" applyProtection="true">
      <alignment horizontal="center" vertical="center" textRotation="0" wrapText="false" indent="0" shrinkToFit="false"/>
      <protection locked="true" hidden="false"/>
    </xf>
    <xf numFmtId="171" fontId="35" fillId="22" borderId="18" xfId="58" applyFont="true" applyBorder="true" applyAlignment="true" applyProtection="true">
      <alignment horizontal="center" vertical="center" textRotation="0" wrapText="false" indent="0" shrinkToFit="false"/>
      <protection locked="false" hidden="false"/>
    </xf>
    <xf numFmtId="175" fontId="23" fillId="0" borderId="18" xfId="58" applyFont="true" applyBorder="true" applyAlignment="true" applyProtection="true">
      <alignment horizontal="center" vertical="center" textRotation="0" wrapText="false" indent="0" shrinkToFit="false"/>
      <protection locked="true" hidden="false"/>
    </xf>
    <xf numFmtId="171" fontId="35" fillId="0" borderId="18" xfId="58" applyFont="true" applyBorder="true" applyAlignment="true" applyProtection="true">
      <alignment horizontal="center" vertical="center" textRotation="0" wrapText="false" indent="0" shrinkToFit="false"/>
      <protection locked="true" hidden="false"/>
    </xf>
    <xf numFmtId="164" fontId="17" fillId="0" borderId="18" xfId="58" applyFont="true" applyBorder="true" applyAlignment="true" applyProtection="true">
      <alignment horizontal="left" vertical="center" textRotation="0" wrapText="false" indent="0" shrinkToFit="false"/>
      <protection locked="true" hidden="false"/>
    </xf>
    <xf numFmtId="171" fontId="35" fillId="0" borderId="18" xfId="58" applyFont="true" applyBorder="true" applyAlignment="true" applyProtection="true">
      <alignment horizontal="center" vertical="center" textRotation="0" wrapText="true" indent="0" shrinkToFit="false"/>
      <protection locked="true" hidden="false"/>
    </xf>
    <xf numFmtId="164" fontId="35" fillId="0" borderId="18" xfId="58" applyFont="true" applyBorder="true" applyAlignment="true" applyProtection="true">
      <alignment horizontal="center" vertical="center" textRotation="0" wrapText="true" indent="0" shrinkToFit="false"/>
      <protection locked="true" hidden="false"/>
    </xf>
    <xf numFmtId="164" fontId="36" fillId="0" borderId="0" xfId="58" applyFont="true" applyBorder="false" applyAlignment="true" applyProtection="true">
      <alignment horizontal="general" vertical="bottom" textRotation="0" wrapText="true" indent="0" shrinkToFit="false"/>
      <protection locked="true" hidden="false"/>
    </xf>
    <xf numFmtId="164" fontId="37" fillId="0" borderId="0" xfId="58" applyFont="true" applyBorder="true" applyAlignment="true" applyProtection="true">
      <alignment horizontal="left" vertical="center" textRotation="0" wrapText="true" indent="0" shrinkToFit="false"/>
      <protection locked="true" hidden="false"/>
    </xf>
    <xf numFmtId="164" fontId="37" fillId="0" borderId="0" xfId="58" applyFont="true" applyBorder="true" applyAlignment="true" applyProtection="true">
      <alignment horizontal="center" vertical="center" textRotation="0" wrapText="true" indent="0" shrinkToFit="false"/>
      <protection locked="true" hidden="false"/>
    </xf>
    <xf numFmtId="171" fontId="37" fillId="0" borderId="0" xfId="58" applyFont="true" applyBorder="true" applyAlignment="true" applyProtection="true">
      <alignment horizontal="center" vertical="center" textRotation="0" wrapText="false" indent="0" shrinkToFit="false"/>
      <protection locked="true" hidden="false"/>
    </xf>
    <xf numFmtId="175" fontId="23" fillId="0" borderId="0" xfId="58" applyFont="true" applyBorder="true" applyAlignment="true" applyProtection="true">
      <alignment horizontal="center" vertical="center" textRotation="0" wrapText="true" indent="0" shrinkToFit="false"/>
      <protection locked="true" hidden="false"/>
    </xf>
    <xf numFmtId="176" fontId="38" fillId="0" borderId="19" xfId="58" applyFont="true" applyBorder="true" applyAlignment="true" applyProtection="true">
      <alignment horizontal="center" vertical="center" textRotation="0" wrapText="false" indent="0" shrinkToFit="false"/>
      <protection locked="true" hidden="false"/>
    </xf>
    <xf numFmtId="164" fontId="17" fillId="0" borderId="0" xfId="58" applyFont="true" applyBorder="false" applyAlignment="false" applyProtection="true">
      <alignment horizontal="general" vertical="bottom" textRotation="0" wrapText="false" indent="0" shrinkToFit="false"/>
      <protection locked="false" hidden="false"/>
    </xf>
    <xf numFmtId="164" fontId="39" fillId="0" borderId="18" xfId="58" applyFont="true" applyBorder="true" applyAlignment="true" applyProtection="true">
      <alignment horizontal="center" vertical="center" textRotation="0" wrapText="false" indent="0" shrinkToFit="false"/>
      <protection locked="true" hidden="false"/>
    </xf>
    <xf numFmtId="164" fontId="40" fillId="0" borderId="0" xfId="58" applyFont="true" applyBorder="true" applyAlignment="true" applyProtection="true">
      <alignment horizontal="left" vertical="center" textRotation="0" wrapText="false" indent="1" shrinkToFit="false"/>
      <protection locked="true" hidden="false"/>
    </xf>
    <xf numFmtId="164" fontId="17" fillId="0" borderId="0" xfId="58" applyFont="true" applyBorder="true" applyAlignment="true" applyProtection="true">
      <alignment horizontal="center" vertical="center" textRotation="0" wrapText="false" indent="0" shrinkToFit="false"/>
      <protection locked="true" hidden="false"/>
    </xf>
    <xf numFmtId="164" fontId="17" fillId="0" borderId="0" xfId="58" applyFont="true" applyBorder="true" applyAlignment="true" applyProtection="true">
      <alignment horizontal="center" vertical="top" textRotation="0" wrapText="false" indent="0" shrinkToFit="false"/>
      <protection locked="true" hidden="false"/>
    </xf>
    <xf numFmtId="164" fontId="41" fillId="0" borderId="0" xfId="0" applyFont="true" applyBorder="true" applyAlignment="true" applyProtection="true">
      <alignment horizontal="right" vertical="center" textRotation="0" wrapText="false" indent="0" shrinkToFit="false"/>
      <protection locked="true" hidden="false"/>
    </xf>
    <xf numFmtId="164" fontId="42" fillId="0" borderId="0" xfId="0" applyFont="true" applyBorder="true" applyAlignment="true" applyProtection="true">
      <alignment horizontal="center" vertical="bottom" textRotation="0" wrapText="false" indent="0" shrinkToFit="false"/>
      <protection locked="true" hidden="false"/>
    </xf>
    <xf numFmtId="164" fontId="41" fillId="0" borderId="0" xfId="0" applyFont="true" applyBorder="true" applyAlignment="true" applyProtection="true">
      <alignment horizontal="left" vertical="center" textRotation="0" wrapText="false" indent="0" shrinkToFit="false"/>
      <protection locked="true" hidden="false"/>
    </xf>
    <xf numFmtId="164" fontId="41" fillId="0" borderId="0" xfId="0" applyFont="true" applyBorder="true" applyAlignment="true" applyProtection="true">
      <alignment horizontal="center" vertical="top" textRotation="0" wrapText="false" indent="0" shrinkToFit="false"/>
      <protection locked="true" hidden="false"/>
    </xf>
    <xf numFmtId="164" fontId="43" fillId="0" borderId="0" xfId="58" applyFont="true" applyBorder="true" applyAlignment="true" applyProtection="true">
      <alignment horizontal="center" vertical="top" textRotation="0" wrapText="false" indent="0" shrinkToFit="false"/>
      <protection locked="true" hidden="false"/>
    </xf>
    <xf numFmtId="164" fontId="44" fillId="0" borderId="18" xfId="58" applyFont="true" applyBorder="true" applyAlignment="true" applyProtection="true">
      <alignment horizontal="center" vertical="center" textRotation="0" wrapText="true" indent="0" shrinkToFit="false"/>
      <protection locked="true" hidden="false"/>
    </xf>
    <xf numFmtId="168" fontId="17" fillId="22" borderId="18" xfId="58" applyFont="true" applyBorder="true" applyAlignment="true" applyProtection="true">
      <alignment horizontal="left" vertical="top" textRotation="0" wrapText="true" indent="0" shrinkToFit="false"/>
      <protection locked="false" hidden="false"/>
    </xf>
    <xf numFmtId="177" fontId="17" fillId="0" borderId="17" xfId="58" applyFont="true" applyBorder="true" applyAlignment="true" applyProtection="true">
      <alignment horizontal="left" vertical="bottom" textRotation="0" wrapText="false" indent="0" shrinkToFit="false"/>
      <protection locked="true" hidden="false"/>
    </xf>
    <xf numFmtId="178" fontId="17" fillId="0" borderId="17" xfId="58" applyFont="true" applyBorder="true" applyAlignment="true" applyProtection="true">
      <alignment horizontal="left" vertical="bottom" textRotation="0" wrapText="false" indent="0" shrinkToFit="false"/>
      <protection locked="true" hidden="false"/>
    </xf>
    <xf numFmtId="164" fontId="24" fillId="0" borderId="0" xfId="58" applyFont="true" applyBorder="true" applyAlignment="true" applyProtection="true">
      <alignment horizontal="left" vertical="center" textRotation="0" wrapText="false" indent="0" shrinkToFit="false"/>
      <protection locked="true" hidden="false"/>
    </xf>
    <xf numFmtId="179" fontId="17" fillId="0" borderId="0" xfId="58" applyFont="true" applyBorder="false" applyAlignment="true" applyProtection="true">
      <alignment horizontal="general" vertical="bottom" textRotation="0" wrapText="false" indent="0" shrinkToFit="false"/>
      <protection locked="true" hidden="false"/>
    </xf>
    <xf numFmtId="164" fontId="24" fillId="0" borderId="19" xfId="58" applyFont="true" applyBorder="true" applyAlignment="true" applyProtection="true">
      <alignment horizontal="left" vertical="bottom" textRotation="0" wrapText="false" indent="0" shrinkToFit="false"/>
      <protection locked="true" hidden="false"/>
    </xf>
    <xf numFmtId="164" fontId="17" fillId="0" borderId="19" xfId="58" applyFont="true" applyBorder="true" applyAlignment="false" applyProtection="true">
      <alignment horizontal="general" vertical="bottom" textRotation="0" wrapText="false" indent="0" shrinkToFit="false"/>
      <protection locked="true" hidden="false"/>
    </xf>
    <xf numFmtId="164" fontId="23" fillId="0" borderId="0" xfId="58" applyFont="true" applyBorder="true" applyAlignment="true" applyProtection="true">
      <alignment horizontal="left" vertical="center" textRotation="0" wrapText="false" indent="0" shrinkToFit="false"/>
      <protection locked="true" hidden="false"/>
    </xf>
    <xf numFmtId="164" fontId="35" fillId="0" borderId="0" xfId="58" applyFont="true" applyBorder="true" applyAlignment="false" applyProtection="true">
      <alignment horizontal="general" vertical="bottom" textRotation="0" wrapText="false" indent="0" shrinkToFit="false"/>
      <protection locked="true" hidden="false"/>
    </xf>
    <xf numFmtId="164" fontId="17" fillId="0" borderId="19" xfId="58" applyFont="true" applyBorder="true" applyAlignment="true" applyProtection="true">
      <alignment horizontal="center" vertical="center" textRotation="0" wrapText="false" indent="0" shrinkToFit="false"/>
      <protection locked="true" hidden="false"/>
    </xf>
    <xf numFmtId="164" fontId="17" fillId="0" borderId="0" xfId="58" applyFont="true" applyBorder="true" applyAlignment="false" applyProtection="true">
      <alignment horizontal="general" vertical="bottom" textRotation="0" wrapText="false" indent="0" shrinkToFit="false"/>
      <protection locked="true" hidden="false"/>
    </xf>
    <xf numFmtId="177" fontId="17" fillId="0" borderId="0" xfId="58" applyFont="true" applyBorder="true" applyAlignment="true" applyProtection="true">
      <alignment horizontal="left" vertical="bottom" textRotation="0" wrapText="false" indent="0" shrinkToFit="false"/>
      <protection locked="true" hidden="false"/>
    </xf>
    <xf numFmtId="164" fontId="35" fillId="0" borderId="0" xfId="58" applyFont="true" applyBorder="false" applyAlignment="false" applyProtection="true">
      <alignment horizontal="general" vertical="bottom" textRotation="0" wrapText="false" indent="0" shrinkToFit="false"/>
      <protection locked="true" hidden="false"/>
    </xf>
    <xf numFmtId="168" fontId="17" fillId="0" borderId="0" xfId="58" applyFont="true" applyBorder="true" applyAlignment="true" applyProtection="true">
      <alignment horizontal="left" vertical="bottom" textRotation="0" wrapText="false" indent="0" shrinkToFit="false"/>
      <protection locked="fals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17" fillId="0" borderId="0" xfId="0" applyFont="true" applyBorder="true" applyAlignment="false" applyProtection="false">
      <alignment horizontal="general" vertical="bottom" textRotation="0" wrapText="false" indent="0" shrinkToFit="false"/>
      <protection locked="true" hidden="false"/>
    </xf>
    <xf numFmtId="164" fontId="46" fillId="0" borderId="0" xfId="0" applyFont="true" applyBorder="false" applyAlignment="true" applyProtection="false">
      <alignment horizontal="general" vertical="center" textRotation="0" wrapText="false" indent="0" shrinkToFit="false"/>
      <protection locked="true" hidden="false"/>
    </xf>
    <xf numFmtId="164" fontId="22" fillId="0" borderId="0" xfId="0" applyFont="true" applyBorder="false" applyAlignment="true" applyProtection="false">
      <alignment horizontal="left" vertical="center" textRotation="0" wrapText="false" indent="0" shrinkToFit="false"/>
      <protection locked="true" hidden="false"/>
    </xf>
    <xf numFmtId="164" fontId="17" fillId="0" borderId="0" xfId="0" applyFont="true" applyBorder="false" applyAlignment="true" applyProtection="false">
      <alignment horizontal="center" vertical="top" textRotation="0" wrapText="false" indent="0" shrinkToFit="false"/>
      <protection locked="true" hidden="false"/>
    </xf>
    <xf numFmtId="164" fontId="17" fillId="0" borderId="13" xfId="0" applyFont="true" applyBorder="true" applyAlignment="true" applyProtection="true">
      <alignment horizontal="center" vertical="bottom"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17" fillId="0" borderId="0" xfId="0" applyFont="true" applyBorder="true" applyAlignment="false" applyProtection="false">
      <alignment horizontal="general" vertical="bottom" textRotation="0" wrapText="false" indent="0" shrinkToFit="false"/>
      <protection locked="true" hidden="false"/>
    </xf>
    <xf numFmtId="164" fontId="44" fillId="0" borderId="0" xfId="0" applyFont="true" applyBorder="false" applyAlignment="true" applyProtection="false">
      <alignment horizontal="left" vertical="center" textRotation="0" wrapText="false" indent="0" shrinkToFit="false"/>
      <protection locked="true" hidden="false"/>
    </xf>
    <xf numFmtId="164" fontId="24" fillId="0" borderId="14" xfId="0" applyFont="true" applyBorder="true" applyAlignment="true" applyProtection="true">
      <alignment horizontal="center" vertical="bottom" textRotation="0" wrapText="false" indent="0" shrinkToFit="false"/>
      <protection locked="true" hidden="false"/>
    </xf>
    <xf numFmtId="164" fontId="17" fillId="0" borderId="18" xfId="0" applyFont="true" applyBorder="true" applyAlignment="true" applyProtection="false">
      <alignment horizontal="center" vertical="bottom" textRotation="0" wrapText="false" indent="0" shrinkToFit="false"/>
      <protection locked="true" hidden="false"/>
    </xf>
    <xf numFmtId="164" fontId="47" fillId="0" borderId="0" xfId="0" applyFont="true" applyBorder="false" applyAlignment="false" applyProtection="false">
      <alignment horizontal="general" vertical="bottom" textRotation="0" wrapText="false" indent="0" shrinkToFit="false"/>
      <protection locked="true" hidden="false"/>
    </xf>
    <xf numFmtId="164" fontId="17" fillId="0" borderId="0" xfId="0" applyFont="true" applyBorder="false" applyAlignment="true" applyProtection="false">
      <alignment horizontal="general" vertical="bottom" textRotation="0" wrapText="true" indent="0" shrinkToFit="false"/>
      <protection locked="true" hidden="false"/>
    </xf>
    <xf numFmtId="164" fontId="17" fillId="0" borderId="18" xfId="0" applyFont="true" applyBorder="true" applyAlignment="false" applyProtection="false">
      <alignment horizontal="general" vertical="bottom" textRotation="0" wrapText="false" indent="0" shrinkToFit="false"/>
      <protection locked="true" hidden="false"/>
    </xf>
    <xf numFmtId="164" fontId="17" fillId="0" borderId="18" xfId="0" applyFont="true" applyBorder="true" applyAlignment="false" applyProtection="true">
      <alignment horizontal="general" vertical="bottom" textRotation="0" wrapText="false" indent="0" shrinkToFit="false"/>
      <protection locked="false" hidden="false"/>
    </xf>
    <xf numFmtId="164" fontId="25" fillId="0" borderId="20" xfId="0" applyFont="true" applyBorder="true" applyAlignment="true" applyProtection="true">
      <alignment horizontal="center" vertical="center" textRotation="0" wrapText="true" indent="0" shrinkToFit="false"/>
      <protection locked="true" hidden="false"/>
    </xf>
    <xf numFmtId="164" fontId="17" fillId="0" borderId="0" xfId="0" applyFont="true" applyBorder="false" applyAlignment="true" applyProtection="false">
      <alignment horizontal="center" vertical="bottom" textRotation="0" wrapText="false" indent="0" shrinkToFit="false"/>
      <protection locked="true" hidden="false"/>
    </xf>
    <xf numFmtId="164" fontId="48" fillId="0" borderId="14" xfId="0" applyFont="true" applyBorder="true" applyAlignment="true" applyProtection="false">
      <alignment horizontal="center" vertical="bottom" textRotation="0" wrapText="false" indent="0" shrinkToFit="false"/>
      <protection locked="true" hidden="false"/>
    </xf>
    <xf numFmtId="164" fontId="17" fillId="20" borderId="0" xfId="0" applyFont="true" applyBorder="false" applyAlignment="false" applyProtection="false">
      <alignment horizontal="general" vertical="bottom" textRotation="0" wrapText="false" indent="0" shrinkToFit="false"/>
      <protection locked="true" hidden="false"/>
    </xf>
    <xf numFmtId="164" fontId="24" fillId="0" borderId="18" xfId="0" applyFont="true" applyBorder="true" applyAlignment="true" applyProtection="true">
      <alignment horizontal="center" vertical="center" textRotation="0" wrapText="true" indent="0" shrinkToFit="false"/>
      <protection locked="true" hidden="false"/>
    </xf>
    <xf numFmtId="164" fontId="24" fillId="0" borderId="18" xfId="0" applyFont="true" applyBorder="true" applyAlignment="true" applyProtection="true">
      <alignment horizontal="center" vertical="center" textRotation="0" wrapText="false" indent="0" shrinkToFit="false"/>
      <protection locked="true" hidden="false"/>
    </xf>
    <xf numFmtId="164" fontId="24" fillId="0" borderId="0" xfId="0" applyFont="true" applyBorder="true" applyAlignment="true" applyProtection="true">
      <alignment horizontal="center" vertical="center" textRotation="0" wrapText="true" indent="0" shrinkToFit="false"/>
      <protection locked="true" hidden="false"/>
    </xf>
    <xf numFmtId="164" fontId="24" fillId="0" borderId="21" xfId="0" applyFont="true" applyBorder="true" applyAlignment="true" applyProtection="true">
      <alignment horizontal="center" vertical="center" textRotation="0" wrapText="true" indent="0" shrinkToFit="false"/>
      <protection locked="true" hidden="false"/>
    </xf>
    <xf numFmtId="164" fontId="25" fillId="0" borderId="22" xfId="0" applyFont="true" applyBorder="true" applyAlignment="true" applyProtection="true">
      <alignment horizontal="center" vertical="center" textRotation="0" wrapText="true" indent="0" shrinkToFit="false"/>
      <protection locked="true" hidden="false"/>
    </xf>
    <xf numFmtId="164" fontId="18" fillId="22" borderId="23" xfId="0" applyFont="true" applyBorder="true" applyAlignment="true" applyProtection="true">
      <alignment horizontal="general" vertical="center" textRotation="0" wrapText="true" indent="0" shrinkToFit="false"/>
      <protection locked="false" hidden="false"/>
    </xf>
    <xf numFmtId="164" fontId="17" fillId="0" borderId="24" xfId="0" applyFont="true" applyBorder="true" applyAlignment="true" applyProtection="false">
      <alignment horizontal="general" vertical="center" textRotation="0" wrapText="true" indent="0" shrinkToFit="true"/>
      <protection locked="true" hidden="false"/>
    </xf>
    <xf numFmtId="168" fontId="17" fillId="22" borderId="25" xfId="0" applyFont="true" applyBorder="true" applyAlignment="true" applyProtection="true">
      <alignment horizontal="center" vertical="center" textRotation="0" wrapText="true" indent="0" shrinkToFit="false"/>
      <protection locked="false" hidden="false"/>
    </xf>
    <xf numFmtId="164" fontId="17" fillId="22" borderId="25" xfId="0" applyFont="true" applyBorder="true" applyAlignment="true" applyProtection="true">
      <alignment horizontal="general" vertical="center" textRotation="0" wrapText="true" indent="0" shrinkToFit="false"/>
      <protection locked="false" hidden="false"/>
    </xf>
    <xf numFmtId="164" fontId="17" fillId="22" borderId="25" xfId="0" applyFont="true" applyBorder="true" applyAlignment="true" applyProtection="true">
      <alignment horizontal="center" vertical="center" textRotation="0" wrapText="true" indent="0" shrinkToFit="false"/>
      <protection locked="false" hidden="false"/>
    </xf>
    <xf numFmtId="173" fontId="17" fillId="22" borderId="25" xfId="15" applyFont="true" applyBorder="true" applyAlignment="true" applyProtection="true">
      <alignment horizontal="general" vertical="center" textRotation="0" wrapText="false" indent="0" shrinkToFit="true"/>
      <protection locked="false" hidden="false"/>
    </xf>
    <xf numFmtId="173" fontId="17" fillId="22" borderId="25" xfId="15" applyFont="true" applyBorder="true" applyAlignment="true" applyProtection="true">
      <alignment horizontal="general" vertical="center" textRotation="0" wrapText="true" indent="0" shrinkToFit="false"/>
      <protection locked="false" hidden="false"/>
    </xf>
    <xf numFmtId="171" fontId="17" fillId="22" borderId="25" xfId="19" applyFont="true" applyBorder="true" applyAlignment="true" applyProtection="true">
      <alignment horizontal="center" vertical="center" textRotation="0" wrapText="true" indent="0" shrinkToFit="false"/>
      <protection locked="false" hidden="false"/>
    </xf>
    <xf numFmtId="173" fontId="17" fillId="0" borderId="25" xfId="15" applyFont="true" applyBorder="true" applyAlignment="true" applyProtection="true">
      <alignment horizontal="general" vertical="center" textRotation="0" wrapText="false" indent="0" shrinkToFit="true"/>
      <protection locked="true" hidden="false"/>
    </xf>
    <xf numFmtId="173" fontId="17" fillId="0" borderId="26" xfId="15" applyFont="true" applyBorder="true" applyAlignment="true" applyProtection="true">
      <alignment horizontal="center" vertical="center" textRotation="0" wrapText="false" indent="0" shrinkToFit="true"/>
      <protection locked="true" hidden="false"/>
    </xf>
    <xf numFmtId="164" fontId="48" fillId="0" borderId="0" xfId="0" applyFont="true" applyBorder="false" applyAlignment="false" applyProtection="false">
      <alignment horizontal="general" vertical="bottom" textRotation="0" wrapText="false" indent="0" shrinkToFit="false"/>
      <protection locked="true" hidden="false"/>
    </xf>
    <xf numFmtId="171" fontId="17" fillId="0" borderId="25" xfId="15" applyFont="true" applyBorder="true" applyAlignment="true" applyProtection="true">
      <alignment horizontal="general" vertical="center" textRotation="0" wrapText="false" indent="0" shrinkToFit="true"/>
      <protection locked="true" hidden="false"/>
    </xf>
    <xf numFmtId="164" fontId="24" fillId="25" borderId="18" xfId="0" applyFont="true" applyBorder="true" applyAlignment="true" applyProtection="true">
      <alignment horizontal="center" vertical="center" textRotation="0" wrapText="false" indent="0" shrinkToFit="false"/>
      <protection locked="true" hidden="false"/>
    </xf>
    <xf numFmtId="164" fontId="49" fillId="25" borderId="27" xfId="0" applyFont="true" applyBorder="true" applyAlignment="true" applyProtection="true">
      <alignment horizontal="center" vertical="center" textRotation="0" wrapText="true" indent="0" shrinkToFit="false"/>
      <protection locked="true" hidden="false"/>
    </xf>
    <xf numFmtId="168" fontId="24" fillId="25" borderId="28" xfId="0" applyFont="true" applyBorder="true" applyAlignment="true" applyProtection="true">
      <alignment horizontal="center" vertical="center" textRotation="0" wrapText="false" indent="0" shrinkToFit="false"/>
      <protection locked="true" hidden="false"/>
    </xf>
    <xf numFmtId="164" fontId="24" fillId="25" borderId="28" xfId="0" applyFont="true" applyBorder="true" applyAlignment="true" applyProtection="true">
      <alignment horizontal="center" vertical="center" textRotation="0" wrapText="true" indent="0" shrinkToFit="false"/>
      <protection locked="true" hidden="false"/>
    </xf>
    <xf numFmtId="173" fontId="24" fillId="25" borderId="28" xfId="15" applyFont="true" applyBorder="true" applyAlignment="true" applyProtection="true">
      <alignment horizontal="center" vertical="center" textRotation="0" wrapText="false" indent="0" shrinkToFit="false"/>
      <protection locked="true" hidden="false"/>
    </xf>
    <xf numFmtId="171" fontId="24" fillId="25" borderId="28" xfId="19" applyFont="true" applyBorder="true" applyAlignment="true" applyProtection="true">
      <alignment horizontal="center" vertical="center" textRotation="0" wrapText="false" indent="0" shrinkToFit="false"/>
      <protection locked="true" hidden="false"/>
    </xf>
    <xf numFmtId="173" fontId="24" fillId="25" borderId="10" xfId="15" applyFont="true" applyBorder="true" applyAlignment="true" applyProtection="true">
      <alignment horizontal="center" vertical="center" textRotation="0" wrapText="false" indent="0" shrinkToFit="true"/>
      <protection locked="true" hidden="false"/>
    </xf>
    <xf numFmtId="171" fontId="24" fillId="25" borderId="28" xfId="15" applyFont="true" applyBorder="true" applyAlignment="true" applyProtection="true">
      <alignment horizontal="center" vertical="center" textRotation="0" wrapText="false" indent="0" shrinkToFit="false"/>
      <protection locked="true" hidden="false"/>
    </xf>
    <xf numFmtId="164" fontId="18" fillId="21" borderId="23" xfId="0" applyFont="true" applyBorder="true" applyAlignment="true" applyProtection="true">
      <alignment horizontal="general" vertical="center" textRotation="0" wrapText="true" indent="0" shrinkToFit="false"/>
      <protection locked="true" hidden="false"/>
    </xf>
    <xf numFmtId="164" fontId="17" fillId="0" borderId="19" xfId="0" applyFont="true" applyBorder="true" applyAlignment="false" applyProtection="false">
      <alignment horizontal="general" vertical="bottom" textRotation="0" wrapText="false" indent="0" shrinkToFit="false"/>
      <protection locked="true" hidden="false"/>
    </xf>
    <xf numFmtId="164" fontId="35" fillId="0" borderId="0" xfId="0" applyFont="true" applyBorder="false" applyAlignment="false" applyProtection="false">
      <alignment horizontal="general" vertical="bottom" textRotation="0" wrapText="false" indent="0" shrinkToFit="false"/>
      <protection locked="true" hidden="false"/>
    </xf>
    <xf numFmtId="164" fontId="35" fillId="0" borderId="18" xfId="0" applyFont="true" applyBorder="true" applyAlignment="true" applyProtection="true">
      <alignment horizontal="left" vertical="center" textRotation="0" wrapText="false" indent="0" shrinkToFit="false"/>
      <protection locked="false" hidden="false"/>
    </xf>
    <xf numFmtId="164" fontId="35" fillId="0" borderId="15" xfId="0" applyFont="true" applyBorder="true" applyAlignment="true" applyProtection="true">
      <alignment horizontal="left" vertical="center" textRotation="0" wrapText="false" indent="0" shrinkToFit="false"/>
      <protection locked="true" hidden="false"/>
    </xf>
    <xf numFmtId="164" fontId="17" fillId="0" borderId="16" xfId="0" applyFont="true" applyBorder="true" applyAlignment="false" applyProtection="false">
      <alignment horizontal="general" vertical="bottom" textRotation="0" wrapText="false" indent="0" shrinkToFit="false"/>
      <protection locked="true" hidden="false"/>
    </xf>
    <xf numFmtId="164" fontId="35" fillId="22" borderId="14" xfId="0" applyFont="true" applyBorder="true" applyAlignment="true" applyProtection="true">
      <alignment horizontal="left" vertical="bottom" textRotation="0" wrapText="true" indent="0" shrinkToFit="false"/>
      <protection locked="false" hidden="false"/>
    </xf>
    <xf numFmtId="164" fontId="35" fillId="0" borderId="0" xfId="0" applyFont="true" applyBorder="true" applyAlignment="true" applyProtection="true">
      <alignment horizontal="left" vertical="bottom" textRotation="0" wrapText="true" indent="0" shrinkToFit="false"/>
      <protection locked="false" hidden="false"/>
    </xf>
    <xf numFmtId="164" fontId="23" fillId="0" borderId="18" xfId="0" applyFont="true" applyBorder="true" applyAlignment="true" applyProtection="true">
      <alignment horizontal="left" vertical="bottom" textRotation="0" wrapText="true" indent="0" shrinkToFit="false"/>
      <protection locked="true" hidden="false"/>
    </xf>
    <xf numFmtId="177" fontId="17" fillId="0" borderId="17" xfId="0" applyFont="true" applyBorder="true" applyAlignment="true" applyProtection="true">
      <alignment horizontal="left" vertical="bottom" textRotation="0" wrapText="false" indent="0" shrinkToFit="false"/>
      <protection locked="false" hidden="false"/>
    </xf>
    <xf numFmtId="164" fontId="24" fillId="0" borderId="0" xfId="0" applyFont="true" applyBorder="false" applyAlignment="false" applyProtection="false">
      <alignment horizontal="general" vertical="bottom" textRotation="0" wrapText="false" indent="0" shrinkToFit="false"/>
      <protection locked="true" hidden="false"/>
    </xf>
    <xf numFmtId="179" fontId="17" fillId="0" borderId="0" xfId="0" applyFont="true" applyBorder="true" applyAlignment="true" applyProtection="true">
      <alignment horizontal="left" vertical="bottom" textRotation="0" wrapText="false" indent="0" shrinkToFit="false"/>
      <protection locked="false" hidden="false"/>
    </xf>
    <xf numFmtId="164" fontId="24" fillId="0" borderId="19" xfId="0" applyFont="true" applyBorder="true" applyAlignment="false" applyProtection="false">
      <alignment horizontal="general" vertical="bottom" textRotation="0" wrapText="false" indent="0" shrinkToFit="false"/>
      <protection locked="true" hidden="false"/>
    </xf>
    <xf numFmtId="164" fontId="22" fillId="0" borderId="0" xfId="0" applyFont="true" applyBorder="false" applyAlignment="true" applyProtection="false">
      <alignment horizontal="right" vertical="bottom" textRotation="0" wrapText="false" indent="0" shrinkToFit="false"/>
      <protection locked="true" hidden="false"/>
    </xf>
    <xf numFmtId="164" fontId="22" fillId="0" borderId="0" xfId="0" applyFont="true" applyBorder="false" applyAlignment="true" applyProtection="false">
      <alignment horizontal="left" vertical="bottom" textRotation="0" wrapText="false" indent="0" shrinkToFit="false"/>
      <protection locked="true" hidden="false"/>
    </xf>
    <xf numFmtId="164" fontId="17" fillId="0" borderId="0" xfId="0" applyFont="true" applyBorder="true" applyAlignment="true" applyProtection="true">
      <alignment horizontal="right" vertical="bottom" textRotation="0" wrapText="false" indent="0" shrinkToFit="false"/>
      <protection locked="true" hidden="false"/>
    </xf>
    <xf numFmtId="164" fontId="24" fillId="0" borderId="0" xfId="0" applyFont="true" applyBorder="false" applyAlignment="true" applyProtection="false">
      <alignment horizontal="center" vertical="bottom" textRotation="0" wrapText="false" indent="0" shrinkToFit="false"/>
      <protection locked="true" hidden="false"/>
    </xf>
    <xf numFmtId="164" fontId="24" fillId="0" borderId="0" xfId="0" applyFont="true" applyBorder="true" applyAlignment="true" applyProtection="true">
      <alignment horizontal="right" vertical="bottom" textRotation="0" wrapText="false" indent="0" shrinkToFit="false"/>
      <protection locked="true" hidden="false"/>
    </xf>
    <xf numFmtId="164" fontId="51" fillId="0" borderId="0" xfId="0" applyFont="true" applyBorder="false" applyAlignment="true" applyProtection="false">
      <alignment horizontal="general" vertical="center" textRotation="0" wrapText="false" indent="0" shrinkToFit="false"/>
      <protection locked="true" hidden="false"/>
    </xf>
    <xf numFmtId="164" fontId="17" fillId="0" borderId="0" xfId="0" applyFont="true" applyBorder="false" applyAlignment="true" applyProtection="false">
      <alignment horizontal="left" vertical="bottom" textRotation="0" wrapText="false" indent="0" shrinkToFit="false"/>
      <protection locked="true" hidden="false"/>
    </xf>
    <xf numFmtId="164" fontId="51" fillId="0" borderId="0" xfId="0" applyFont="true" applyBorder="false" applyAlignment="true" applyProtection="false">
      <alignment horizontal="center" vertical="center" textRotation="0" wrapText="false" indent="0" shrinkToFit="false"/>
      <protection locked="true" hidden="false"/>
    </xf>
    <xf numFmtId="164" fontId="17" fillId="22" borderId="29" xfId="0" applyFont="true" applyBorder="true" applyAlignment="true" applyProtection="true">
      <alignment horizontal="center" vertical="bottom" textRotation="90" wrapText="true" indent="0" shrinkToFit="false"/>
      <protection locked="false" hidden="false"/>
    </xf>
    <xf numFmtId="164" fontId="24" fillId="0" borderId="13" xfId="0" applyFont="true" applyBorder="true" applyAlignment="true" applyProtection="true">
      <alignment horizontal="center" vertical="center" textRotation="0" wrapText="true" indent="0" shrinkToFit="false"/>
      <protection locked="true" hidden="false"/>
    </xf>
    <xf numFmtId="164" fontId="24" fillId="0" borderId="13" xfId="0" applyFont="true" applyBorder="true" applyAlignment="true" applyProtection="true">
      <alignment horizontal="center" vertical="center" textRotation="0" wrapText="false" indent="0" shrinkToFit="false"/>
      <protection locked="true" hidden="false"/>
    </xf>
    <xf numFmtId="164" fontId="51" fillId="0" borderId="30" xfId="0" applyFont="true" applyBorder="true" applyAlignment="true" applyProtection="false">
      <alignment horizontal="center" vertical="center" textRotation="0" wrapText="false" indent="0" shrinkToFit="false"/>
      <protection locked="true" hidden="false"/>
    </xf>
    <xf numFmtId="164" fontId="17" fillId="0" borderId="0" xfId="0" applyFont="true" applyBorder="false" applyAlignment="true" applyProtection="false">
      <alignment horizontal="center" vertical="center" textRotation="0" wrapText="false" indent="0" shrinkToFit="false"/>
      <protection locked="true" hidden="false"/>
    </xf>
    <xf numFmtId="164" fontId="18" fillId="0" borderId="31" xfId="0" applyFont="true" applyBorder="true" applyAlignment="true" applyProtection="true">
      <alignment horizontal="general" vertical="center" textRotation="0" wrapText="false" indent="0" shrinkToFit="false"/>
      <protection locked="true" hidden="false"/>
    </xf>
    <xf numFmtId="164" fontId="17" fillId="0" borderId="31" xfId="0" applyFont="true" applyBorder="true" applyAlignment="true" applyProtection="true">
      <alignment horizontal="general" vertical="center" textRotation="0" wrapText="false" indent="0" shrinkToFit="true"/>
      <protection locked="true" hidden="false"/>
    </xf>
    <xf numFmtId="164" fontId="17" fillId="0" borderId="31" xfId="0" applyFont="true" applyBorder="true" applyAlignment="true" applyProtection="true">
      <alignment horizontal="general" vertical="center" textRotation="0" wrapText="true" indent="0" shrinkToFit="false"/>
      <protection locked="true" hidden="false"/>
    </xf>
    <xf numFmtId="164" fontId="17" fillId="0" borderId="31" xfId="0" applyFont="true" applyBorder="true" applyAlignment="true" applyProtection="true">
      <alignment horizontal="center" vertical="center" textRotation="0" wrapText="true" indent="0" shrinkToFit="false"/>
      <protection locked="true" hidden="false"/>
    </xf>
    <xf numFmtId="173" fontId="17" fillId="0" borderId="31" xfId="15" applyFont="true" applyBorder="true" applyAlignment="true" applyProtection="true">
      <alignment horizontal="general" vertical="center" textRotation="0" wrapText="false" indent="0" shrinkToFit="true"/>
      <protection locked="true" hidden="false"/>
    </xf>
    <xf numFmtId="173" fontId="17" fillId="22" borderId="32" xfId="15" applyFont="true" applyBorder="true" applyAlignment="true" applyProtection="true">
      <alignment horizontal="general" vertical="center" textRotation="0" wrapText="false" indent="0" shrinkToFit="true"/>
      <protection locked="false" hidden="false"/>
    </xf>
    <xf numFmtId="164" fontId="24" fillId="25" borderId="27" xfId="0" applyFont="true" applyBorder="true" applyAlignment="true" applyProtection="true">
      <alignment horizontal="center" vertical="center" textRotation="0" wrapText="false" indent="0" shrinkToFit="true"/>
      <protection locked="true" hidden="false"/>
    </xf>
    <xf numFmtId="164" fontId="24" fillId="25" borderId="29" xfId="0" applyFont="true" applyBorder="true" applyAlignment="true" applyProtection="true">
      <alignment horizontal="center" vertical="center" textRotation="0" wrapText="false" indent="0" shrinkToFit="true"/>
      <protection locked="true" hidden="false"/>
    </xf>
    <xf numFmtId="164" fontId="18" fillId="0" borderId="33" xfId="0" applyFont="true" applyBorder="true" applyAlignment="true" applyProtection="true">
      <alignment horizontal="general" vertical="center" textRotation="0" wrapText="false" indent="0" shrinkToFit="false"/>
      <protection locked="true" hidden="false"/>
    </xf>
    <xf numFmtId="173" fontId="17" fillId="0" borderId="0" xfId="15" applyFont="true" applyBorder="true" applyAlignment="true" applyProtection="true">
      <alignment horizontal="general" vertical="bottom" textRotation="0" wrapText="false" indent="0" shrinkToFit="false"/>
      <protection locked="true" hidden="false"/>
    </xf>
    <xf numFmtId="177" fontId="17" fillId="0" borderId="17" xfId="0" applyFont="true" applyBorder="true" applyAlignment="true" applyProtection="true">
      <alignment horizontal="left" vertical="bottom" textRotation="0" wrapText="false" indent="0" shrinkToFit="false"/>
      <protection locked="true" hidden="false"/>
    </xf>
    <xf numFmtId="164" fontId="24" fillId="0" borderId="0" xfId="0" applyFont="true" applyBorder="false" applyAlignment="true" applyProtection="false">
      <alignment horizontal="left" vertical="bottom" textRotation="0" wrapText="false" indent="0" shrinkToFit="false"/>
      <protection locked="true" hidden="false"/>
    </xf>
    <xf numFmtId="179" fontId="17" fillId="0" borderId="17" xfId="0" applyFont="true" applyBorder="true" applyAlignment="true" applyProtection="true">
      <alignment horizontal="left" vertical="bottom" textRotation="0" wrapText="false" indent="0" shrinkToFit="false"/>
      <protection locked="true" hidden="false"/>
    </xf>
    <xf numFmtId="164" fontId="24" fillId="0" borderId="19" xfId="0" applyFont="true" applyBorder="true" applyAlignment="true" applyProtection="false">
      <alignment horizontal="left" vertical="bottom" textRotation="0" wrapText="false" indent="0" shrinkToFit="false"/>
      <protection locked="true" hidden="false"/>
    </xf>
    <xf numFmtId="164" fontId="17" fillId="0" borderId="19" xfId="0" applyFont="true" applyBorder="true" applyAlignment="true" applyProtection="false">
      <alignment horizontal="left" vertical="bottom" textRotation="0" wrapText="false" indent="0" shrinkToFit="false"/>
      <protection locked="true" hidden="false"/>
    </xf>
    <xf numFmtId="164" fontId="17" fillId="0" borderId="0" xfId="0" applyFont="true" applyBorder="false" applyAlignment="false" applyProtection="true">
      <alignment horizontal="general" vertical="bottom" textRotation="0" wrapText="false" indent="0" shrinkToFit="false"/>
      <protection locked="true" hidden="true"/>
    </xf>
    <xf numFmtId="164" fontId="17" fillId="0" borderId="0" xfId="0" applyFont="true" applyBorder="false" applyAlignment="true" applyProtection="true">
      <alignment horizontal="center" vertical="bottom" textRotation="0" wrapText="false" indent="0" shrinkToFit="false"/>
      <protection locked="true" hidden="true"/>
    </xf>
    <xf numFmtId="164" fontId="18" fillId="0" borderId="0" xfId="0" applyFont="true" applyBorder="false" applyAlignment="false" applyProtection="true">
      <alignment horizontal="general" vertical="bottom" textRotation="0" wrapText="false" indent="0" shrinkToFit="false"/>
      <protection locked="true" hidden="true"/>
    </xf>
    <xf numFmtId="164" fontId="54" fillId="0" borderId="0" xfId="0" applyFont="true" applyBorder="false" applyAlignment="true" applyProtection="true">
      <alignment horizontal="general" vertical="center" textRotation="0" wrapText="false" indent="0" shrinkToFit="false"/>
      <protection locked="true" hidden="false"/>
    </xf>
    <xf numFmtId="164" fontId="22" fillId="0" borderId="0" xfId="0" applyFont="true" applyBorder="false" applyAlignment="true" applyProtection="true">
      <alignment horizontal="right" vertical="center" textRotation="0" wrapText="false" indent="0" shrinkToFit="false"/>
      <protection locked="true" hidden="false"/>
    </xf>
    <xf numFmtId="164" fontId="22" fillId="0" borderId="0" xfId="0" applyFont="true" applyBorder="false" applyAlignment="true" applyProtection="true">
      <alignment horizontal="left" vertical="center" textRotation="0" wrapText="false" indent="0" shrinkToFit="false"/>
      <protection locked="true" hidden="false"/>
    </xf>
    <xf numFmtId="164" fontId="0" fillId="0" borderId="0" xfId="0" applyFont="false" applyBorder="false" applyAlignment="true" applyProtection="true">
      <alignment horizontal="center" vertical="top"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true"/>
    </xf>
    <xf numFmtId="164" fontId="44" fillId="0" borderId="0" xfId="0" applyFont="true" applyBorder="false" applyAlignment="true" applyProtection="true">
      <alignment horizontal="left" vertical="center" textRotation="0" wrapText="false" indent="0" shrinkToFit="false"/>
      <protection locked="true" hidden="false"/>
    </xf>
    <xf numFmtId="164" fontId="17" fillId="0" borderId="0" xfId="0" applyFont="true" applyBorder="false" applyAlignment="true" applyProtection="true">
      <alignment horizontal="center" vertical="bottom" textRotation="0" wrapText="true" indent="0" shrinkToFit="false"/>
      <protection locked="true" hidden="false"/>
    </xf>
    <xf numFmtId="164" fontId="35" fillId="0" borderId="0" xfId="0" applyFont="true" applyBorder="true" applyAlignment="true" applyProtection="true">
      <alignment horizontal="center" vertical="top" textRotation="0" wrapText="true" indent="0" shrinkToFit="false"/>
      <protection locked="true" hidden="false"/>
    </xf>
    <xf numFmtId="164" fontId="25" fillId="0" borderId="0" xfId="0" applyFont="true" applyBorder="false" applyAlignment="true" applyProtection="true">
      <alignment horizontal="center" vertical="bottom" textRotation="0" wrapText="true" indent="0" shrinkToFit="false"/>
      <protection locked="true" hidden="false"/>
    </xf>
    <xf numFmtId="164" fontId="47" fillId="0" borderId="0" xfId="0" applyFont="true" applyBorder="false" applyAlignment="true" applyProtection="true">
      <alignment horizontal="general" vertical="bottom" textRotation="0" wrapText="tru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true" hidden="false"/>
    </xf>
    <xf numFmtId="164" fontId="17" fillId="0" borderId="0" xfId="0" applyFont="true" applyBorder="false" applyAlignment="true" applyProtection="true">
      <alignment horizontal="center" vertical="bottom" textRotation="0" wrapText="false" indent="0" shrinkToFit="false"/>
      <protection locked="false" hidden="false"/>
    </xf>
    <xf numFmtId="164" fontId="0" fillId="22" borderId="18" xfId="0" applyFont="true" applyBorder="true" applyAlignment="true" applyProtection="true">
      <alignment horizontal="center" vertical="center" textRotation="0" wrapText="false" indent="0" shrinkToFit="false"/>
      <protection locked="false" hidden="false"/>
    </xf>
    <xf numFmtId="164" fontId="27" fillId="0" borderId="0" xfId="0" applyFont="true" applyBorder="false" applyAlignment="true" applyProtection="true">
      <alignment horizontal="center" vertical="bottom" textRotation="0" wrapText="false" indent="0" shrinkToFit="false"/>
      <protection locked="true" hidden="false"/>
    </xf>
    <xf numFmtId="164" fontId="27" fillId="0" borderId="0" xfId="0" applyFont="true" applyBorder="false" applyAlignment="true" applyProtection="true">
      <alignment horizontal="center" vertical="center" textRotation="0" wrapText="true" indent="0" shrinkToFit="false"/>
      <protection locked="true" hidden="false"/>
    </xf>
    <xf numFmtId="164" fontId="24" fillId="0" borderId="0" xfId="0" applyFont="true" applyBorder="true" applyAlignment="true" applyProtection="true">
      <alignment horizontal="center" vertical="bottom" textRotation="0" wrapText="true" indent="0" shrinkToFit="false"/>
      <protection locked="true" hidden="false"/>
    </xf>
    <xf numFmtId="164" fontId="23" fillId="0" borderId="13" xfId="0" applyFont="true" applyBorder="true" applyAlignment="true" applyProtection="true">
      <alignment horizontal="center" vertical="center" textRotation="0" wrapText="false" indent="0" shrinkToFit="false"/>
      <protection locked="true" hidden="false"/>
    </xf>
    <xf numFmtId="164" fontId="23" fillId="0" borderId="13" xfId="0" applyFont="true" applyBorder="true" applyAlignment="true" applyProtection="true">
      <alignment horizontal="center" vertical="center" textRotation="0" wrapText="true" indent="0" shrinkToFit="false"/>
      <protection locked="true" hidden="false"/>
    </xf>
    <xf numFmtId="164" fontId="23" fillId="0" borderId="20" xfId="0" applyFont="true" applyBorder="true" applyAlignment="true" applyProtection="true">
      <alignment horizontal="center" vertical="center" textRotation="0" wrapText="true" indent="0" shrinkToFit="false"/>
      <protection locked="true" hidden="false"/>
    </xf>
    <xf numFmtId="164" fontId="24" fillId="0" borderId="15" xfId="0" applyFont="true" applyBorder="true" applyAlignment="true" applyProtection="true">
      <alignment horizontal="center" vertical="center" textRotation="0" wrapText="true" indent="0" shrinkToFit="true"/>
      <protection locked="true" hidden="false"/>
    </xf>
    <xf numFmtId="172" fontId="23" fillId="0" borderId="15" xfId="0" applyFont="true" applyBorder="true" applyAlignment="true" applyProtection="true">
      <alignment horizontal="center" vertical="center" textRotation="0" wrapText="true" indent="0" shrinkToFit="false"/>
      <protection locked="true" hidden="false"/>
    </xf>
    <xf numFmtId="164" fontId="23" fillId="0" borderId="16" xfId="0" applyFont="true" applyBorder="true" applyAlignment="true" applyProtection="true">
      <alignment horizontal="center" vertical="center" textRotation="0" wrapText="true" indent="0" shrinkToFit="false"/>
      <protection locked="true" hidden="false"/>
    </xf>
    <xf numFmtId="164" fontId="24" fillId="0" borderId="15" xfId="0" applyFont="true" applyBorder="true" applyAlignment="true" applyProtection="true">
      <alignment horizontal="general" vertical="bottom" textRotation="0" wrapText="true" indent="0" shrinkToFit="false"/>
      <protection locked="true" hidden="false"/>
    </xf>
    <xf numFmtId="164" fontId="24" fillId="0" borderId="0" xfId="0" applyFont="true" applyBorder="true" applyAlignment="true" applyProtection="true">
      <alignment horizontal="general" vertical="bottom" textRotation="0" wrapText="true" indent="0" shrinkToFit="false"/>
      <protection locked="true" hidden="true"/>
    </xf>
    <xf numFmtId="164" fontId="35" fillId="7" borderId="34" xfId="0" applyFont="true" applyBorder="true" applyAlignment="true" applyProtection="true">
      <alignment horizontal="center" vertical="center" textRotation="0" wrapText="false" indent="0" shrinkToFit="true"/>
      <protection locked="true" hidden="false"/>
    </xf>
    <xf numFmtId="164" fontId="35" fillId="7" borderId="35" xfId="0" applyFont="true" applyBorder="true" applyAlignment="true" applyProtection="true">
      <alignment horizontal="center" vertical="center" textRotation="0" wrapText="true" indent="0" shrinkToFit="false"/>
      <protection locked="true" hidden="false"/>
    </xf>
    <xf numFmtId="175" fontId="35" fillId="7" borderId="31" xfId="0" applyFont="true" applyBorder="true" applyAlignment="true" applyProtection="true">
      <alignment horizontal="center" vertical="center" textRotation="0" wrapText="false" indent="0" shrinkToFit="false"/>
      <protection locked="true" hidden="false"/>
    </xf>
    <xf numFmtId="164" fontId="17" fillId="0" borderId="31" xfId="0" applyFont="true" applyBorder="true" applyAlignment="true" applyProtection="true">
      <alignment horizontal="center" vertical="center" textRotation="0" wrapText="false" indent="0" shrinkToFit="false"/>
      <protection locked="true" hidden="false"/>
    </xf>
    <xf numFmtId="171" fontId="35" fillId="22" borderId="34" xfId="19" applyFont="true" applyBorder="true" applyAlignment="true" applyProtection="true">
      <alignment horizontal="center" vertical="center" textRotation="0" wrapText="false" indent="0" shrinkToFit="false"/>
      <protection locked="false" hidden="false"/>
    </xf>
    <xf numFmtId="171" fontId="35" fillId="22" borderId="36" xfId="19" applyFont="true" applyBorder="true" applyAlignment="true" applyProtection="true">
      <alignment horizontal="center" vertical="center" textRotation="0" wrapText="false" indent="0" shrinkToFit="false"/>
      <protection locked="false" hidden="false"/>
    </xf>
    <xf numFmtId="171" fontId="35" fillId="22" borderId="35" xfId="19" applyFont="true" applyBorder="true" applyAlignment="true" applyProtection="true">
      <alignment horizontal="center" vertical="center" textRotation="0" wrapText="false" indent="0" shrinkToFit="false"/>
      <protection locked="false" hidden="false"/>
    </xf>
    <xf numFmtId="164" fontId="0" fillId="0" borderId="15" xfId="0" applyFont="false" applyBorder="true" applyAlignment="false" applyProtection="true">
      <alignment horizontal="general" vertical="bottom" textRotation="0" wrapText="false" indent="0" shrinkToFit="false"/>
      <protection locked="true" hidden="false"/>
    </xf>
    <xf numFmtId="171" fontId="35" fillId="22" borderId="36" xfId="19" applyFont="true" applyBorder="true" applyAlignment="true" applyProtection="true">
      <alignment horizontal="center" vertical="center" textRotation="0" wrapText="false" indent="0" shrinkToFit="false"/>
      <protection locked="false" hidden="true"/>
    </xf>
    <xf numFmtId="164" fontId="17" fillId="0" borderId="0" xfId="0" applyFont="true" applyBorder="true" applyAlignment="true" applyProtection="true">
      <alignment horizontal="center" vertical="center" textRotation="0" wrapText="false" indent="0" shrinkToFit="false"/>
      <protection locked="true" hidden="false"/>
    </xf>
    <xf numFmtId="164" fontId="17" fillId="0" borderId="15" xfId="0" applyFont="true" applyBorder="true" applyAlignment="true" applyProtection="true">
      <alignment horizontal="center" vertical="center" textRotation="0" wrapText="false" indent="0" shrinkToFit="false"/>
      <protection locked="true" hidden="false"/>
    </xf>
    <xf numFmtId="171" fontId="35" fillId="0" borderId="15" xfId="19" applyFont="true" applyBorder="true" applyAlignment="true" applyProtection="true">
      <alignment horizontal="center" vertical="center" textRotation="0" wrapText="false" indent="0" shrinkToFit="false"/>
      <protection locked="true" hidden="false"/>
    </xf>
    <xf numFmtId="171" fontId="35" fillId="0" borderId="0" xfId="19" applyFont="true" applyBorder="true" applyAlignment="true" applyProtection="true">
      <alignment horizontal="center" vertical="center" textRotation="0" wrapText="false" indent="0" shrinkToFit="false"/>
      <protection locked="true" hidden="false"/>
    </xf>
    <xf numFmtId="175" fontId="17" fillId="0" borderId="0" xfId="0" applyFont="true" applyBorder="true" applyAlignment="true" applyProtection="true">
      <alignment horizontal="center" vertical="center" textRotation="0" wrapText="false" indent="0" shrinkToFit="false"/>
      <protection locked="true" hidden="false"/>
    </xf>
    <xf numFmtId="164" fontId="17" fillId="0" borderId="37" xfId="0" applyFont="true" applyBorder="true" applyAlignment="true" applyProtection="true">
      <alignment horizontal="center" vertical="center" textRotation="0" wrapText="false" indent="0" shrinkToFit="false"/>
      <protection locked="true" hidden="false"/>
    </xf>
    <xf numFmtId="175" fontId="35" fillId="0" borderId="15" xfId="19" applyFont="true" applyBorder="true" applyAlignment="true" applyProtection="true">
      <alignment horizontal="center" vertical="center" textRotation="0" wrapText="false" indent="0" shrinkToFit="false"/>
      <protection locked="true" hidden="false"/>
    </xf>
    <xf numFmtId="175" fontId="35" fillId="0" borderId="0" xfId="19" applyFont="true" applyBorder="true" applyAlignment="true" applyProtection="true">
      <alignment horizontal="center" vertical="center" textRotation="0" wrapText="false" indent="0" shrinkToFit="false"/>
      <protection locked="true" hidden="false"/>
    </xf>
    <xf numFmtId="175" fontId="35" fillId="0" borderId="16" xfId="19" applyFont="true" applyBorder="true" applyAlignment="true" applyProtection="true">
      <alignment horizontal="center" vertical="center" textRotation="0" wrapText="false" indent="0" shrinkToFit="false"/>
      <protection locked="true" hidden="false"/>
    </xf>
    <xf numFmtId="164" fontId="23" fillId="25" borderId="18" xfId="0" applyFont="true" applyBorder="true" applyAlignment="true" applyProtection="true">
      <alignment horizontal="center" vertical="center" textRotation="0" wrapText="true" indent="0" shrinkToFit="false"/>
      <protection locked="true" hidden="false"/>
    </xf>
    <xf numFmtId="175" fontId="23" fillId="25" borderId="18" xfId="0" applyFont="true" applyBorder="true" applyAlignment="true" applyProtection="true">
      <alignment horizontal="center" vertical="center" textRotation="0" wrapText="false" indent="0" shrinkToFit="true"/>
      <protection locked="true" hidden="false"/>
    </xf>
    <xf numFmtId="164" fontId="24" fillId="26" borderId="15" xfId="0" applyFont="true" applyBorder="true" applyAlignment="true" applyProtection="true">
      <alignment horizontal="center" vertical="center" textRotation="0" wrapText="false" indent="0" shrinkToFit="false"/>
      <protection locked="true" hidden="false"/>
    </xf>
    <xf numFmtId="171" fontId="23" fillId="26" borderId="15" xfId="19" applyFont="true" applyBorder="true" applyAlignment="true" applyProtection="true">
      <alignment horizontal="center" vertical="center" textRotation="0" wrapText="false" indent="0" shrinkToFit="true"/>
      <protection locked="true" hidden="false"/>
    </xf>
    <xf numFmtId="171" fontId="23" fillId="26" borderId="0" xfId="19" applyFont="true" applyBorder="true" applyAlignment="true" applyProtection="true">
      <alignment horizontal="center" vertical="center" textRotation="0" wrapText="false" indent="0" shrinkToFit="true"/>
      <protection locked="true" hidden="false"/>
    </xf>
    <xf numFmtId="164" fontId="24" fillId="0" borderId="15" xfId="0" applyFont="true" applyBorder="true" applyAlignment="true" applyProtection="true">
      <alignment horizontal="center" vertical="center" textRotation="0" wrapText="false" indent="0" shrinkToFit="false"/>
      <protection locked="true" hidden="false"/>
    </xf>
    <xf numFmtId="164" fontId="24" fillId="0" borderId="0" xfId="0" applyFont="true" applyBorder="true" applyAlignment="true" applyProtection="true">
      <alignment horizontal="center" vertical="center" textRotation="0" wrapText="false" indent="0" shrinkToFit="false"/>
      <protection locked="true" hidden="true"/>
    </xf>
    <xf numFmtId="164" fontId="24" fillId="26" borderId="11" xfId="0" applyFont="true" applyBorder="true" applyAlignment="true" applyProtection="true">
      <alignment horizontal="center" vertical="center" textRotation="0" wrapText="false" indent="0" shrinkToFit="false"/>
      <protection locked="true" hidden="false"/>
    </xf>
    <xf numFmtId="175" fontId="23" fillId="26" borderId="11" xfId="15" applyFont="true" applyBorder="true" applyAlignment="true" applyProtection="true">
      <alignment horizontal="center" vertical="center" textRotation="0" wrapText="false" indent="0" shrinkToFit="true"/>
      <protection locked="true" hidden="false"/>
    </xf>
    <xf numFmtId="175" fontId="23" fillId="26" borderId="17" xfId="15" applyFont="true" applyBorder="true" applyAlignment="true" applyProtection="true">
      <alignment horizontal="center" vertical="center" textRotation="0" wrapText="false" indent="0" shrinkToFit="true"/>
      <protection locked="true" hidden="false"/>
    </xf>
    <xf numFmtId="164" fontId="24" fillId="21" borderId="15" xfId="0" applyFont="true" applyBorder="true" applyAlignment="true" applyProtection="true">
      <alignment horizontal="center" vertical="center" textRotation="0" wrapText="false" indent="0" shrinkToFit="false"/>
      <protection locked="true" hidden="false"/>
    </xf>
    <xf numFmtId="171" fontId="23" fillId="21" borderId="15" xfId="19" applyFont="true" applyBorder="true" applyAlignment="true" applyProtection="true">
      <alignment horizontal="center" vertical="center" textRotation="0" wrapText="false" indent="0" shrinkToFit="true"/>
      <protection locked="true" hidden="false"/>
    </xf>
    <xf numFmtId="171" fontId="23" fillId="21" borderId="0" xfId="19" applyFont="true" applyBorder="true" applyAlignment="true" applyProtection="true">
      <alignment horizontal="center" vertical="center" textRotation="0" wrapText="false" indent="0" shrinkToFit="tru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24" fillId="21" borderId="11" xfId="0" applyFont="true" applyBorder="true" applyAlignment="true" applyProtection="true">
      <alignment horizontal="center" vertical="center" textRotation="0" wrapText="false" indent="0" shrinkToFit="false"/>
      <protection locked="true" hidden="false"/>
    </xf>
    <xf numFmtId="175" fontId="23" fillId="21" borderId="11" xfId="15" applyFont="true" applyBorder="true" applyAlignment="true" applyProtection="true">
      <alignment horizontal="center" vertical="center" textRotation="0" wrapText="false" indent="0" shrinkToFit="true"/>
      <protection locked="true" hidden="false"/>
    </xf>
    <xf numFmtId="175" fontId="23" fillId="21" borderId="17" xfId="15" applyFont="true" applyBorder="true" applyAlignment="true" applyProtection="true">
      <alignment horizontal="center" vertical="center" textRotation="0" wrapText="false" indent="0" shrinkToFit="true"/>
      <protection locked="true" hidden="false"/>
    </xf>
    <xf numFmtId="164" fontId="17" fillId="0" borderId="13" xfId="0" applyFont="true" applyBorder="true" applyAlignment="true" applyProtection="true">
      <alignment horizontal="center" vertical="center" textRotation="0" wrapText="false" indent="0" shrinkToFit="false"/>
      <protection locked="true" hidden="false"/>
    </xf>
    <xf numFmtId="164" fontId="17" fillId="0" borderId="19" xfId="0" applyFont="true" applyBorder="true" applyAlignment="false" applyProtection="true">
      <alignment horizontal="general" vertical="bottom" textRotation="0" wrapText="false" indent="0" shrinkToFit="false"/>
      <protection locked="true" hidden="false"/>
    </xf>
    <xf numFmtId="164" fontId="17" fillId="0" borderId="19" xfId="0" applyFont="true" applyBorder="true" applyAlignment="true" applyProtection="true">
      <alignment horizontal="center" vertical="bottom" textRotation="0" wrapText="false" indent="0" shrinkToFit="false"/>
      <protection locked="true" hidden="false"/>
    </xf>
    <xf numFmtId="164" fontId="18" fillId="0" borderId="0" xfId="0" applyFont="true" applyBorder="true" applyAlignment="false" applyProtection="true">
      <alignment horizontal="general" vertical="bottom" textRotation="0" wrapText="false" indent="0" shrinkToFit="false"/>
      <protection locked="true" hidden="false"/>
    </xf>
    <xf numFmtId="164" fontId="17" fillId="0" borderId="0" xfId="0" applyFont="true" applyBorder="true" applyAlignment="false" applyProtection="true">
      <alignment horizontal="general" vertical="bottom" textRotation="0" wrapText="false" indent="0" shrinkToFit="false"/>
      <protection locked="true" hidden="true"/>
    </xf>
    <xf numFmtId="164" fontId="17" fillId="0" borderId="0" xfId="0" applyFont="true" applyBorder="true" applyAlignment="false" applyProtection="true">
      <alignment horizontal="general" vertical="bottom" textRotation="0" wrapText="false" indent="0" shrinkToFit="false"/>
      <protection locked="true" hidden="false"/>
    </xf>
    <xf numFmtId="164" fontId="18" fillId="0" borderId="0" xfId="0" applyFont="true" applyBorder="false" applyAlignment="false" applyProtection="true">
      <alignment horizontal="general" vertical="bottom" textRotation="0" wrapText="false" indent="0" shrinkToFit="false"/>
      <protection locked="true" hidden="false"/>
    </xf>
    <xf numFmtId="177" fontId="17" fillId="0" borderId="17" xfId="0" applyFont="true" applyBorder="true" applyAlignment="true" applyProtection="true">
      <alignment horizontal="left" vertical="center" textRotation="0" wrapText="false" indent="0" shrinkToFit="false"/>
      <protection locked="true" hidden="false"/>
    </xf>
    <xf numFmtId="164" fontId="17" fillId="0" borderId="0" xfId="0" applyFont="true" applyBorder="true" applyAlignment="true" applyProtection="true">
      <alignment horizontal="general" vertical="top" textRotation="0" wrapText="false" indent="0" shrinkToFit="false"/>
      <protection locked="true" hidden="false"/>
    </xf>
    <xf numFmtId="178" fontId="17" fillId="0" borderId="0" xfId="0" applyFont="true" applyBorder="true" applyAlignment="true" applyProtection="true">
      <alignment horizontal="left" vertical="bottom" textRotation="0" wrapText="false" indent="0" shrinkToFit="false"/>
      <protection locked="true" hidden="false"/>
    </xf>
    <xf numFmtId="164" fontId="24" fillId="0" borderId="0" xfId="0" applyFont="true" applyBorder="true" applyAlignment="true" applyProtection="true">
      <alignment horizontal="general" vertical="center" textRotation="0" wrapText="false" indent="0" shrinkToFit="false"/>
      <protection locked="true" hidden="false"/>
    </xf>
    <xf numFmtId="164" fontId="17" fillId="0" borderId="0" xfId="0" applyFont="true" applyBorder="true" applyAlignment="true" applyProtection="true">
      <alignment horizontal="left" vertical="bottom" textRotation="0" wrapText="false" indent="0" shrinkToFit="false"/>
      <protection locked="true" hidden="false"/>
    </xf>
    <xf numFmtId="168" fontId="17" fillId="0" borderId="0" xfId="0" applyFont="true" applyBorder="true" applyAlignment="true" applyProtection="true">
      <alignment horizontal="left" vertical="bottom" textRotation="0" wrapText="false" indent="0" shrinkToFit="false"/>
      <protection locked="true" hidden="false"/>
    </xf>
    <xf numFmtId="179" fontId="17" fillId="0" borderId="17" xfId="0" applyFont="true" applyBorder="true" applyAlignment="true" applyProtection="true">
      <alignment horizontal="left" vertical="center" textRotation="0" wrapText="false" indent="0" shrinkToFit="false"/>
      <protection locked="true" hidden="false"/>
    </xf>
    <xf numFmtId="175" fontId="18" fillId="0" borderId="0" xfId="0" applyFont="true" applyBorder="false" applyAlignment="false" applyProtection="true">
      <alignment horizontal="general" vertical="bottom" textRotation="0" wrapText="false" indent="0" shrinkToFit="false"/>
      <protection locked="true" hidden="false"/>
    </xf>
    <xf numFmtId="164" fontId="24" fillId="0" borderId="19" xfId="0" applyFont="true" applyBorder="true" applyAlignment="true" applyProtection="true">
      <alignment horizontal="left" vertical="center" textRotation="0" wrapText="false" indent="0" shrinkToFit="false"/>
      <protection locked="true" hidden="false"/>
    </xf>
    <xf numFmtId="164" fontId="17" fillId="0" borderId="19" xfId="0" applyFont="true" applyBorder="true" applyAlignment="false" applyProtection="true">
      <alignment horizontal="general" vertical="bottom" textRotation="0" wrapText="false" indent="0" shrinkToFit="false"/>
      <protection locked="true" hidden="false"/>
    </xf>
  </cellXfs>
  <cellStyles count="50">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20% - Accent1" xfId="20" builtinId="53" customBuiltin="true"/>
    <cellStyle name="20% - Accent2" xfId="21" builtinId="53" customBuiltin="true"/>
    <cellStyle name="20% - Accent3" xfId="22" builtinId="53" customBuiltin="true"/>
    <cellStyle name="20% - Accent4" xfId="23" builtinId="53" customBuiltin="true"/>
    <cellStyle name="20% - Accent5" xfId="24" builtinId="53" customBuiltin="true"/>
    <cellStyle name="20% - Accent6" xfId="25" builtinId="53" customBuiltin="true"/>
    <cellStyle name="40% - Accent1" xfId="26" builtinId="53" customBuiltin="true"/>
    <cellStyle name="40% - Accent2" xfId="27" builtinId="53" customBuiltin="true"/>
    <cellStyle name="40% - Accent3" xfId="28" builtinId="53" customBuiltin="true"/>
    <cellStyle name="40% - Accent4" xfId="29" builtinId="53" customBuiltin="true"/>
    <cellStyle name="40% - Accent5" xfId="30" builtinId="53" customBuiltin="true"/>
    <cellStyle name="40% - Accent6" xfId="31" builtinId="53" customBuiltin="true"/>
    <cellStyle name="60% - Accent1" xfId="32" builtinId="53" customBuiltin="true"/>
    <cellStyle name="60% - Accent2" xfId="33" builtinId="53" customBuiltin="true"/>
    <cellStyle name="60% - Accent3" xfId="34" builtinId="53" customBuiltin="true"/>
    <cellStyle name="60% - Accent4" xfId="35" builtinId="53" customBuiltin="true"/>
    <cellStyle name="60% - Accent5" xfId="36" builtinId="53" customBuiltin="true"/>
    <cellStyle name="60% - Accent6" xfId="37" builtinId="53" customBuiltin="true"/>
    <cellStyle name="Accent1" xfId="38" builtinId="53" customBuiltin="true"/>
    <cellStyle name="Accent2" xfId="39" builtinId="53" customBuiltin="true"/>
    <cellStyle name="Accent3" xfId="40" builtinId="53" customBuiltin="true"/>
    <cellStyle name="Accent4" xfId="41" builtinId="53" customBuiltin="true"/>
    <cellStyle name="Accent5" xfId="42" builtinId="53" customBuiltin="true"/>
    <cellStyle name="Accent6" xfId="43" builtinId="53" customBuiltin="true"/>
    <cellStyle name="Bad 1" xfId="44" builtinId="53" customBuiltin="true"/>
    <cellStyle name="Calculation" xfId="45" builtinId="53" customBuiltin="true"/>
    <cellStyle name="Check Cell" xfId="46" builtinId="53" customBuiltin="true"/>
    <cellStyle name="Explanatory Text" xfId="47" builtinId="53" customBuiltin="true"/>
    <cellStyle name="Good 2" xfId="48" builtinId="53" customBuiltin="true"/>
    <cellStyle name="Heading 1 3" xfId="49" builtinId="53" customBuiltin="true"/>
    <cellStyle name="Heading 2 4" xfId="50" builtinId="53" customBuiltin="true"/>
    <cellStyle name="Heading 3" xfId="51" builtinId="53" customBuiltin="true"/>
    <cellStyle name="Heading 4" xfId="52" builtinId="53" customBuiltin="true"/>
    <cellStyle name="Input" xfId="53" builtinId="53" customBuiltin="true"/>
    <cellStyle name="Linked Cell" xfId="54" builtinId="53" customBuiltin="true"/>
    <cellStyle name="Moeda 2" xfId="55" builtinId="53" customBuiltin="true"/>
    <cellStyle name="Moeda_Composicao BDI v2.1" xfId="56" builtinId="53" customBuiltin="true"/>
    <cellStyle name="Neutral 5" xfId="57" builtinId="53" customBuiltin="true"/>
    <cellStyle name="Normal 2" xfId="58" builtinId="53" customBuiltin="true"/>
    <cellStyle name="Normal_FICHA DE VERIFICAÇÃO PRELIMINAR - Plano R" xfId="59" builtinId="53" customBuiltin="true"/>
    <cellStyle name="Note 6" xfId="60" builtinId="53" customBuiltin="true"/>
    <cellStyle name="Output" xfId="61" builtinId="53" customBuiltin="true"/>
    <cellStyle name="Title" xfId="62" builtinId="53" customBuiltin="true"/>
    <cellStyle name="Warning Text" xfId="63" builtinId="53" customBuiltin="true"/>
  </cellStyles>
  <dxfs count="110">
    <dxf>
      <fill>
        <patternFill>
          <bgColor rgb="00FFFFFF"/>
        </patternFill>
      </fill>
    </dxf>
    <dxf>
      <fill>
        <patternFill>
          <bgColor rgb="00FFFFFF"/>
        </patternFill>
      </fill>
    </dxf>
    <dxf>
      <font>
        <color rgb="FFFFFFFF"/>
      </font>
      <fill>
        <patternFill>
          <bgColor rgb="FFFFFFFF"/>
        </patternFill>
      </fill>
      <border diagonalUp="false" diagonalDown="false">
        <left/>
        <right/>
        <top/>
        <bottom/>
        <diagonal/>
      </border>
    </dxf>
    <dxf>
      <font>
        <color rgb="FFFFFFFF"/>
      </font>
      <fill>
        <patternFill>
          <bgColor rgb="00FFFFFF"/>
        </patternFill>
      </fill>
      <border diagonalUp="false" diagonalDown="false">
        <left/>
        <right/>
        <top/>
        <bottom/>
        <diagonal/>
      </border>
    </dxf>
    <dxf>
      <fill>
        <patternFill>
          <bgColor rgb="00FFFFFF"/>
        </patternFill>
      </fill>
    </dxf>
    <dxf>
      <font>
        <color rgb="FFFFFFFF"/>
      </font>
      <fill>
        <patternFill>
          <bgColor rgb="00FFFFFF"/>
        </patternFill>
      </fill>
      <border diagonalUp="false" diagonalDown="false">
        <left/>
        <right/>
        <top/>
        <bottom/>
        <diagonal/>
      </border>
    </dxf>
    <dxf>
      <fill>
        <patternFill>
          <bgColor rgb="00FFFFFF"/>
        </patternFill>
      </fill>
    </dxf>
    <dxf>
      <fill>
        <patternFill>
          <bgColor rgb="00FFFFFF"/>
        </patternFill>
      </fill>
    </dxf>
    <dxf>
      <fill>
        <patternFill>
          <bgColor rgb="FFFFFF9E"/>
        </patternFill>
      </fill>
    </dxf>
    <dxf>
      <font>
        <color rgb="FFFF0000"/>
      </font>
      <border diagonalUp="false" diagonalDown="false">
        <left style="thin"/>
        <right style="thin"/>
        <top style="thin"/>
        <bottom style="thin"/>
        <diagonal/>
      </border>
    </dxf>
    <dxf>
      <font>
        <color rgb="FF008000"/>
      </font>
      <border diagonalUp="false" diagonalDown="false">
        <left style="thin"/>
        <right style="thin"/>
        <top style="thin"/>
        <bottom style="thin"/>
        <diagonal/>
      </border>
    </dxf>
    <dxf>
      <font>
        <b val="1"/>
        <i val="0"/>
      </font>
      <fill>
        <patternFill>
          <bgColor rgb="FFD9D9D9"/>
        </patternFill>
      </fill>
    </dxf>
    <dxf>
      <font>
        <b val="1"/>
        <i val="0"/>
        <color rgb="FF000000"/>
      </font>
      <fill>
        <patternFill>
          <bgColor rgb="FFD9D9D9"/>
        </patternFill>
      </fill>
      <border diagonalUp="false" diagonalDown="false">
        <left style="thin"/>
        <right style="thin"/>
        <top style="thin"/>
        <bottom style="thin"/>
        <diagonal/>
      </border>
    </dxf>
    <dxf>
      <border diagonalUp="false" diagonalDown="false">
        <left style="thin"/>
        <right style="thin"/>
        <top style="thin"/>
        <bottom style="thin"/>
        <diagonal/>
      </border>
    </dxf>
    <dxf>
      <fill>
        <patternFill>
          <bgColor rgb="FFFFFF9E"/>
        </patternFill>
      </fill>
    </dxf>
    <dxf>
      <font>
        <color rgb="FFFFFFFF"/>
      </font>
      <fill>
        <patternFill>
          <bgColor rgb="FFFFFFFF"/>
        </patternFill>
      </fill>
      <border diagonalUp="false" diagonalDown="false">
        <left/>
        <right/>
        <top/>
        <bottom/>
        <diagonal/>
      </border>
    </dxf>
    <dxf>
      <font>
        <color rgb="FFFFFFFF"/>
      </font>
      <fill>
        <patternFill>
          <bgColor rgb="00FFFFFF"/>
        </patternFill>
      </fill>
    </dxf>
    <dxf>
      <font>
        <b val="1"/>
        <i val="0"/>
      </font>
      <fill>
        <patternFill>
          <bgColor rgb="FF969696"/>
        </patternFill>
      </fill>
    </dxf>
    <dxf>
      <font>
        <b val="1"/>
        <i val="0"/>
      </font>
      <fill>
        <patternFill>
          <bgColor rgb="FFC0C0C0"/>
        </patternFill>
      </fill>
    </dxf>
    <dxf>
      <font>
        <color rgb="FF000000"/>
      </font>
    </dxf>
    <dxf>
      <font>
        <b val="1"/>
        <i val="0"/>
      </font>
      <fill>
        <patternFill>
          <bgColor rgb="FF969696"/>
        </patternFill>
      </fill>
    </dxf>
    <dxf>
      <font>
        <b val="1"/>
        <i val="0"/>
      </font>
      <fill>
        <patternFill>
          <bgColor rgb="FFC0C0C0"/>
        </patternFill>
      </fill>
    </dxf>
    <dxf>
      <font>
        <b val="1"/>
        <i val="0"/>
      </font>
      <fill>
        <patternFill>
          <bgColor rgb="FF969696"/>
        </patternFill>
      </fill>
      <border diagonalUp="false" diagonalDown="false">
        <left/>
        <right/>
        <top style="thin"/>
        <bottom/>
        <diagonal/>
      </border>
    </dxf>
    <dxf>
      <font>
        <b val="1"/>
        <i val="0"/>
      </font>
      <fill>
        <patternFill>
          <bgColor rgb="FFE3E3E3"/>
        </patternFill>
      </fill>
    </dxf>
    <dxf>
      <font>
        <color rgb="FFE3E3E3"/>
      </font>
      <fill>
        <patternFill>
          <bgColor rgb="FFE3E3E3"/>
        </patternFill>
      </fill>
    </dxf>
    <dxf>
      <font>
        <name val="Cambria"/>
        <charset val="1"/>
        <family val="0"/>
        <b val="1"/>
        <i val="0"/>
        <color rgb="FF969696"/>
      </font>
      <fill>
        <patternFill>
          <bgColor rgb="FF969696"/>
        </patternFill>
      </fill>
      <border diagonalUp="false" diagonalDown="false">
        <left/>
        <right/>
        <top style="thin"/>
        <bottom/>
        <diagonal/>
      </border>
    </dxf>
    <dxf>
      <font>
        <name val="Cambria"/>
        <charset val="1"/>
        <family val="0"/>
        <b val="1"/>
        <i val="0"/>
        <color rgb="FFE3E3E3"/>
      </font>
      <fill>
        <patternFill>
          <bgColor rgb="FFE3E3E3"/>
        </patternFill>
      </fill>
    </dxf>
    <dxf>
      <fill>
        <patternFill>
          <bgColor rgb="FFFFFFFF"/>
        </patternFill>
      </fill>
    </dxf>
    <dxf>
      <font>
        <name val="Cambria"/>
        <charset val="1"/>
        <family val="0"/>
        <b val="0"/>
        <i val="0"/>
        <color rgb="FF969696"/>
      </font>
      <fill>
        <patternFill>
          <bgColor rgb="FF969696"/>
        </patternFill>
      </fill>
      <border diagonalUp="false" diagonalDown="false">
        <left/>
        <right/>
        <top style="thin"/>
        <bottom/>
        <diagonal/>
      </border>
    </dxf>
    <dxf>
      <font>
        <name val="Cambria"/>
        <charset val="1"/>
        <family val="0"/>
        <b val="0"/>
        <i val="0"/>
        <color rgb="FFE3E3E3"/>
      </font>
      <fill>
        <patternFill>
          <bgColor rgb="FFE3E3E3"/>
        </patternFill>
      </fill>
    </dxf>
    <dxf>
      <font>
        <b val="0"/>
        <i val="0"/>
        <color rgb="00FFFFFF"/>
      </font>
      <fill>
        <patternFill>
          <bgColor rgb="00FFFFFF"/>
        </patternFill>
      </fill>
    </dxf>
    <dxf>
      <font>
        <b val="1"/>
        <i val="0"/>
      </font>
      <fill>
        <patternFill>
          <bgColor rgb="FF969696"/>
        </patternFill>
      </fill>
      <border diagonalUp="false" diagonalDown="false">
        <left/>
        <right/>
        <top style="thin"/>
        <bottom/>
        <diagonal/>
      </border>
    </dxf>
    <dxf>
      <font>
        <b val="1"/>
        <i val="0"/>
      </font>
      <fill>
        <patternFill>
          <bgColor rgb="FFE3E3E3"/>
        </patternFill>
      </fill>
    </dxf>
    <dxf>
      <font>
        <name val="Cambria"/>
        <charset val="1"/>
        <family val="0"/>
        <b val="0"/>
        <i val="0"/>
        <color rgb="FF969696"/>
      </font>
      <fill>
        <patternFill>
          <bgColor rgb="FF969696"/>
        </patternFill>
      </fill>
      <border diagonalUp="false" diagonalDown="false">
        <left/>
        <right/>
        <top style="thin"/>
        <bottom/>
        <diagonal/>
      </border>
    </dxf>
    <dxf>
      <font>
        <name val="Cambria"/>
        <charset val="1"/>
        <family val="0"/>
        <b val="0"/>
        <i val="0"/>
        <color rgb="FFE3E3E3"/>
      </font>
      <fill>
        <patternFill>
          <bgColor rgb="FFE3E3E3"/>
        </patternFill>
      </fill>
    </dxf>
    <dxf>
      <font>
        <b val="0"/>
        <i val="0"/>
        <color rgb="00FFFFFF"/>
      </font>
      <fill>
        <patternFill>
          <bgColor rgb="00FFFFFF"/>
        </patternFill>
      </fill>
    </dxf>
    <dxf>
      <font>
        <color rgb="FFFFFFFF"/>
      </font>
      <fill>
        <patternFill>
          <bgColor rgb="00FFFFFF"/>
        </patternFill>
      </fill>
      <border diagonalUp="false" diagonalDown="false">
        <left/>
        <right/>
        <top/>
        <bottom/>
        <diagonal/>
      </border>
    </dxf>
    <dxf>
      <fill>
        <patternFill>
          <bgColor rgb="FFFFFF99"/>
        </patternFill>
      </fill>
    </dxf>
    <dxf>
      <fill>
        <patternFill>
          <bgColor rgb="00FFFFFF"/>
        </patternFill>
      </fill>
    </dxf>
    <dxf>
      <font>
        <name val="Cambria"/>
        <charset val="1"/>
        <family val="0"/>
        <b val="0"/>
        <i val="0"/>
        <color rgb="FF969696"/>
      </font>
      <fill>
        <patternFill>
          <bgColor rgb="FF969696"/>
        </patternFill>
      </fill>
      <border diagonalUp="false" diagonalDown="false">
        <left/>
        <right/>
        <top style="thin"/>
        <bottom/>
        <diagonal/>
      </border>
    </dxf>
    <dxf>
      <font>
        <name val="Cambria"/>
        <charset val="1"/>
        <family val="0"/>
        <b val="0"/>
        <i val="0"/>
        <color rgb="FFE3E3E3"/>
      </font>
      <fill>
        <patternFill>
          <bgColor rgb="FFE3E3E3"/>
        </patternFill>
      </fill>
    </dxf>
    <dxf>
      <font>
        <b val="0"/>
        <i val="0"/>
        <color rgb="00FFFFFF"/>
      </font>
      <fill>
        <patternFill>
          <bgColor rgb="00FFFFFF"/>
        </patternFill>
      </fill>
    </dxf>
    <dxf>
      <font>
        <b val="1"/>
        <i val="0"/>
        <color rgb="00FFFFFF"/>
        <u val="single"/>
      </font>
      <fill>
        <patternFill>
          <bgColor rgb="FF969696"/>
        </patternFill>
      </fill>
      <border diagonalUp="false" diagonalDown="false">
        <left/>
        <right/>
        <top style="thin"/>
        <bottom/>
        <diagonal/>
      </border>
    </dxf>
    <dxf>
      <font>
        <b val="1"/>
        <i val="0"/>
      </font>
      <fill>
        <patternFill>
          <bgColor rgb="FFE3E3E3"/>
        </patternFill>
      </fill>
    </dxf>
    <dxf>
      <fill>
        <patternFill>
          <bgColor rgb="00FFFFFF"/>
        </patternFill>
      </fill>
    </dxf>
    <dxf>
      <font>
        <b val="1"/>
        <i val="0"/>
        <color rgb="FF969696"/>
      </font>
      <fill>
        <patternFill>
          <bgColor rgb="FF969696"/>
        </patternFill>
      </fill>
    </dxf>
    <dxf>
      <font>
        <b val="1"/>
        <i val="0"/>
        <color rgb="FFE3E3E3"/>
      </font>
      <fill>
        <patternFill>
          <bgColor rgb="FFE3E3E3"/>
        </patternFill>
      </fill>
    </dxf>
    <dxf>
      <font>
        <b val="1"/>
        <i val="0"/>
      </font>
      <fill>
        <patternFill>
          <bgColor rgb="FF969696"/>
        </patternFill>
      </fill>
    </dxf>
    <dxf>
      <font>
        <b val="1"/>
        <i val="0"/>
      </font>
      <fill>
        <patternFill>
          <bgColor rgb="FFE3E3E3"/>
        </patternFill>
      </fill>
    </dxf>
    <dxf>
      <font>
        <b val="1"/>
        <i val="0"/>
      </font>
      <fill>
        <patternFill>
          <bgColor rgb="FF969696"/>
        </patternFill>
      </fill>
    </dxf>
    <dxf>
      <font>
        <b val="1"/>
        <i val="0"/>
      </font>
      <fill>
        <patternFill>
          <bgColor rgb="FFE3E3E3"/>
        </patternFill>
      </fill>
    </dxf>
    <dxf>
      <font>
        <color rgb="FFE3E3E3"/>
      </font>
      <fill>
        <patternFill>
          <bgColor rgb="FFE3E3E3"/>
        </patternFill>
      </fill>
    </dxf>
    <dxf>
      <font>
        <b val="1"/>
        <i val="0"/>
        <color rgb="FF969696"/>
      </font>
      <fill>
        <patternFill>
          <bgColor rgb="FF969696"/>
        </patternFill>
      </fill>
    </dxf>
    <dxf>
      <font>
        <color rgb="FFE3E3E3"/>
      </font>
      <fill>
        <patternFill>
          <bgColor rgb="FFE3E3E3"/>
        </patternFill>
      </fill>
    </dxf>
    <dxf>
      <fill>
        <patternFill>
          <bgColor rgb="00FFFFFF"/>
        </patternFill>
      </fill>
    </dxf>
    <dxf>
      <font>
        <color rgb="FFE3E3E3"/>
      </font>
      <fill>
        <patternFill>
          <bgColor rgb="FFE3E3E3"/>
        </patternFill>
      </fill>
    </dxf>
    <dxf>
      <fill>
        <patternFill>
          <bgColor rgb="00FFFFFF"/>
        </patternFill>
      </fill>
    </dxf>
    <dxf>
      <font>
        <b val="1"/>
        <i val="0"/>
        <color rgb="FF969696"/>
      </font>
      <fill>
        <patternFill>
          <bgColor rgb="FF969696"/>
        </patternFill>
      </fill>
    </dxf>
    <dxf>
      <font>
        <color rgb="FFE3E3E3"/>
      </font>
      <fill>
        <patternFill>
          <bgColor rgb="FFE3E3E3"/>
        </patternFill>
      </fill>
    </dxf>
    <dxf>
      <fill>
        <patternFill>
          <bgColor rgb="00FFFFFF"/>
        </patternFill>
      </fill>
    </dxf>
    <dxf>
      <font>
        <color rgb="FFE3E3E3"/>
      </font>
      <fill>
        <patternFill>
          <bgColor rgb="FFE3E3E3"/>
        </patternFill>
      </fill>
    </dxf>
    <dxf>
      <fill>
        <patternFill>
          <bgColor rgb="00FFFFFF"/>
        </patternFill>
      </fill>
    </dxf>
    <dxf>
      <font>
        <b val="1"/>
        <i val="0"/>
      </font>
      <fill>
        <patternFill>
          <bgColor rgb="FF969696"/>
        </patternFill>
      </fill>
      <border diagonalUp="false" diagonalDown="false">
        <left/>
        <right/>
        <top style="thin"/>
        <bottom/>
        <diagonal/>
      </border>
    </dxf>
    <dxf>
      <fill>
        <patternFill>
          <bgColor rgb="FF969696"/>
        </patternFill>
      </fill>
    </dxf>
    <dxf>
      <border diagonalUp="false" diagonalDown="false">
        <left/>
        <right/>
        <top style="thin"/>
        <bottom/>
        <diagonal/>
      </border>
    </dxf>
    <dxf>
      <font>
        <color rgb="FFFFFFFF"/>
      </font>
      <fill>
        <patternFill>
          <bgColor rgb="FFFFFFFF"/>
        </patternFill>
      </fill>
    </dxf>
    <dxf>
      <font>
        <b val="1"/>
        <i val="0"/>
        <color rgb="FFFFFFFF"/>
      </font>
      <fill>
        <patternFill>
          <bgColor rgb="FFFF0000"/>
        </patternFill>
      </fill>
    </dxf>
    <dxf>
      <font>
        <color rgb="FFFFFFFF"/>
      </font>
      <fill>
        <patternFill>
          <bgColor rgb="00FFFFFF"/>
        </patternFill>
      </fill>
    </dxf>
    <dxf>
      <font>
        <b val="1"/>
        <i val="0"/>
        <color rgb="FFFFFFFF"/>
      </font>
      <fill>
        <patternFill>
          <bgColor rgb="FFFF0000"/>
        </patternFill>
      </fill>
    </dxf>
    <dxf>
      <font>
        <color rgb="FFFFFFFF"/>
      </font>
      <fill>
        <patternFill>
          <bgColor rgb="00FFFFFF"/>
        </patternFill>
      </fill>
    </dxf>
    <dxf>
      <font>
        <color rgb="FFFFFFFF"/>
      </font>
      <fill>
        <patternFill>
          <bgColor rgb="00FFFFFF"/>
        </patternFill>
      </fill>
    </dxf>
    <dxf>
      <font>
        <color rgb="FFFFFFFF"/>
      </font>
      <fill>
        <patternFill>
          <bgColor rgb="00FFFFFF"/>
        </patternFill>
      </fill>
    </dxf>
    <dxf>
      <font>
        <b val="1"/>
        <i val="0"/>
        <color rgb="FFFFFFFF"/>
      </font>
      <fill>
        <patternFill>
          <bgColor rgb="FFFF0000"/>
        </patternFill>
      </fill>
    </dxf>
    <dxf>
      <font>
        <color rgb="FFFFFFFF"/>
      </font>
      <fill>
        <patternFill>
          <bgColor rgb="00FFFFFF"/>
        </patternFill>
      </fill>
    </dxf>
    <dxf>
      <font>
        <b val="1"/>
        <i val="0"/>
        <color rgb="FFFFFFFF"/>
      </font>
      <fill>
        <patternFill>
          <bgColor rgb="FFFF0000"/>
        </patternFill>
      </fill>
    </dxf>
    <dxf>
      <font>
        <b val="1"/>
        <i val="0"/>
        <color rgb="FFFFFFFF"/>
      </font>
      <fill>
        <patternFill>
          <bgColor rgb="FFFF0000"/>
        </patternFill>
      </fill>
    </dxf>
    <dxf>
      <font>
        <color rgb="FFFFFFFF"/>
      </font>
      <fill>
        <patternFill>
          <bgColor rgb="00FFFFFF"/>
        </patternFill>
      </fill>
      <border diagonalUp="false" diagonalDown="false">
        <left/>
        <right/>
        <top/>
        <bottom/>
        <diagonal/>
      </border>
    </dxf>
    <dxf>
      <font>
        <b val="1"/>
        <i val="0"/>
      </font>
      <fill>
        <patternFill>
          <bgColor rgb="FF969696"/>
        </patternFill>
      </fill>
      <border diagonalUp="false" diagonalDown="false">
        <left/>
        <right/>
        <top style="thin"/>
        <bottom/>
        <diagonal/>
      </border>
    </dxf>
    <dxf>
      <font>
        <color rgb="FFFFFFFF"/>
      </font>
      <fill>
        <patternFill>
          <bgColor rgb="00FFFFFF"/>
        </patternFill>
      </fill>
      <border diagonalUp="false" diagonalDown="false">
        <left/>
        <right/>
        <top/>
        <bottom/>
        <diagonal/>
      </border>
    </dxf>
    <dxf>
      <fill>
        <patternFill>
          <bgColor rgb="FF969696"/>
        </patternFill>
      </fill>
    </dxf>
    <dxf>
      <border diagonalUp="false" diagonalDown="false">
        <left/>
        <right/>
        <top style="thin"/>
        <bottom/>
        <diagonal/>
      </border>
    </dxf>
    <dxf>
      <font>
        <color rgb="FFFFFFFF"/>
      </font>
      <fill>
        <patternFill>
          <bgColor rgb="FFFFFFFF"/>
        </patternFill>
      </fill>
    </dxf>
    <dxf>
      <font>
        <b val="1"/>
        <i val="0"/>
        <color rgb="FFFFFFFF"/>
      </font>
      <fill>
        <patternFill>
          <bgColor rgb="FFFF0000"/>
        </patternFill>
      </fill>
    </dxf>
    <dxf>
      <font>
        <color rgb="FFFFFFFF"/>
      </font>
      <fill>
        <patternFill>
          <bgColor rgb="00FFFFFF"/>
        </patternFill>
      </fill>
    </dxf>
    <dxf>
      <font>
        <b val="1"/>
        <i val="0"/>
        <color rgb="FFFFFFFF"/>
      </font>
      <fill>
        <patternFill>
          <bgColor rgb="FFFF0000"/>
        </patternFill>
      </fill>
    </dxf>
    <dxf>
      <border diagonalUp="false" diagonalDown="false">
        <left/>
        <right/>
        <top/>
        <bottom style="thin"/>
        <diagonal/>
      </border>
    </dxf>
    <dxf>
      <font>
        <color rgb="FFFFFFFF"/>
      </font>
      <fill>
        <patternFill>
          <bgColor rgb="00FFFFFF"/>
        </patternFill>
      </fill>
      <border diagonalUp="false" diagonalDown="false">
        <left/>
        <right/>
        <top/>
        <bottom/>
        <diagonal/>
      </border>
    </dxf>
    <dxf>
      <fill>
        <patternFill>
          <bgColor rgb="FF969696"/>
        </patternFill>
      </fill>
    </dxf>
    <dxf>
      <border diagonalUp="false" diagonalDown="false">
        <left/>
        <right/>
        <top style="thin"/>
        <bottom/>
        <diagonal/>
      </border>
    </dxf>
    <dxf>
      <font>
        <color rgb="FFFFFFFF"/>
      </font>
      <fill>
        <patternFill>
          <bgColor rgb="00FFFFFF"/>
        </patternFill>
      </fill>
      <border diagonalUp="false" diagonalDown="false">
        <left/>
        <right/>
        <top/>
        <bottom/>
        <diagonal/>
      </border>
    </dxf>
    <dxf>
      <fill>
        <patternFill>
          <bgColor rgb="FF969696"/>
        </patternFill>
      </fill>
    </dxf>
    <dxf>
      <border diagonalUp="false" diagonalDown="false">
        <left/>
        <right/>
        <top style="thin"/>
        <bottom/>
        <diagonal/>
      </border>
    </dxf>
    <dxf>
      <font>
        <color rgb="FFFFFFFF"/>
      </font>
      <fill>
        <patternFill>
          <bgColor rgb="FFFFFFFF"/>
        </patternFill>
      </fill>
    </dxf>
    <dxf>
      <font>
        <b val="1"/>
        <i val="0"/>
        <color rgb="FFFFFFFF"/>
      </font>
      <fill>
        <patternFill>
          <bgColor rgb="FFFF0000"/>
        </patternFill>
      </fill>
    </dxf>
    <dxf>
      <font>
        <color rgb="FFFFFFFF"/>
      </font>
      <fill>
        <patternFill>
          <bgColor rgb="00FFFFFF"/>
        </patternFill>
      </fill>
    </dxf>
    <dxf>
      <font>
        <b val="1"/>
        <i val="0"/>
        <color rgb="FFFFFFFF"/>
      </font>
      <fill>
        <patternFill>
          <bgColor rgb="FFFF0000"/>
        </patternFill>
      </fill>
    </dxf>
    <dxf>
      <font>
        <color rgb="FFFFFFFF"/>
      </font>
      <fill>
        <patternFill>
          <bgColor rgb="00FFFFFF"/>
        </patternFill>
      </fill>
    </dxf>
    <dxf>
      <font>
        <color rgb="FFFFFFFF"/>
      </font>
      <fill>
        <patternFill>
          <bgColor rgb="00FFFFFF"/>
        </patternFill>
      </fill>
    </dxf>
    <dxf>
      <font>
        <color rgb="FFFFFFFF"/>
      </font>
      <fill>
        <patternFill>
          <bgColor rgb="00FFFFFF"/>
        </patternFill>
      </fill>
    </dxf>
    <dxf>
      <font>
        <b val="1"/>
        <i val="0"/>
        <color rgb="FFFFFFFF"/>
      </font>
      <fill>
        <patternFill>
          <bgColor rgb="FFFF0000"/>
        </patternFill>
      </fill>
    </dxf>
    <dxf>
      <font>
        <color rgb="FFFFFFFF"/>
      </font>
      <fill>
        <patternFill>
          <bgColor rgb="00FFFFFF"/>
        </patternFill>
      </fill>
    </dxf>
    <dxf>
      <font>
        <b val="1"/>
        <i val="0"/>
        <color rgb="FFFFFFFF"/>
      </font>
      <fill>
        <patternFill>
          <bgColor rgb="FFFF0000"/>
        </patternFill>
      </fill>
    </dxf>
    <dxf>
      <font>
        <color rgb="FFFFFFFF"/>
      </font>
      <fill>
        <patternFill>
          <bgColor rgb="00FFFFFF"/>
        </patternFill>
      </fill>
      <border diagonalUp="false" diagonalDown="false">
        <left/>
        <right/>
        <top/>
        <bottom/>
        <diagonal/>
      </border>
    </dxf>
    <dxf>
      <fill>
        <patternFill>
          <bgColor rgb="FF969696"/>
        </patternFill>
      </fill>
    </dxf>
    <dxf>
      <border diagonalUp="false" diagonalDown="false">
        <left/>
        <right/>
        <top style="thin"/>
        <bottom/>
        <diagonal/>
      </border>
    </dxf>
    <dxf>
      <font>
        <color rgb="FFFFFFFF"/>
      </font>
      <fill>
        <patternFill>
          <bgColor rgb="FFFFFFFF"/>
        </patternFill>
      </fill>
    </dxf>
    <dxf>
      <font>
        <b val="1"/>
        <i val="0"/>
        <color rgb="FFFFFFFF"/>
      </font>
      <fill>
        <patternFill>
          <bgColor rgb="FFFF0000"/>
        </patternFill>
      </fill>
    </dxf>
    <dxf>
      <font>
        <color rgb="FFFFFFFF"/>
      </font>
      <fill>
        <patternFill>
          <bgColor rgb="00FFFFFF"/>
        </patternFill>
      </fill>
    </dxf>
    <dxf>
      <font>
        <b val="1"/>
        <i val="0"/>
        <color rgb="FFFFFFFF"/>
      </font>
      <fill>
        <patternFill>
          <bgColor rgb="FFFF0000"/>
        </patternFill>
      </fill>
    </dxf>
    <dxf>
      <border diagonalUp="false" diagonalDown="false">
        <left/>
        <right/>
        <top/>
        <bottom style="thin"/>
        <diagonal/>
      </border>
    </dxf>
  </dxfs>
  <colors>
    <indexedColors>
      <rgbColor rgb="FF000000"/>
      <rgbColor rgb="FFFFFFFF"/>
      <rgbColor rgb="FFFF0000"/>
      <rgbColor rgb="FF00FF00"/>
      <rgbColor rgb="FF0000FF"/>
      <rgbColor rgb="FFFFFF00"/>
      <rgbColor rgb="FFFF00FF"/>
      <rgbColor rgb="FF00FFFF"/>
      <rgbColor rgb="FF800000"/>
      <rgbColor rgb="FF008000"/>
      <rgbColor rgb="FF000080"/>
      <rgbColor rgb="FF999933"/>
      <rgbColor rgb="FF800080"/>
      <rgbColor rgb="FF008080"/>
      <rgbColor rgb="FFC0C0C0"/>
      <rgbColor rgb="FF808080"/>
      <rgbColor rgb="FF9999FF"/>
      <rgbColor rgb="FF996666"/>
      <rgbColor rgb="FFFFFFC0"/>
      <rgbColor rgb="FFE3E3E3"/>
      <rgbColor rgb="FF660066"/>
      <rgbColor rgb="FFFF8080"/>
      <rgbColor rgb="FF0080C0"/>
      <rgbColor rgb="FFC0C0FF"/>
      <rgbColor rgb="FF000080"/>
      <rgbColor rgb="FFFF00FF"/>
      <rgbColor rgb="FFFFFF9E"/>
      <rgbColor rgb="FF00FFFF"/>
      <rgbColor rgb="FF800080"/>
      <rgbColor rgb="FF800000"/>
      <rgbColor rgb="FF008080"/>
      <rgbColor rgb="FF0000FF"/>
      <rgbColor rgb="FF00CCFF"/>
      <rgbColor rgb="FFA0E0E0"/>
      <rgbColor rgb="FFCCFFCC"/>
      <rgbColor rgb="FFFFFF99"/>
      <rgbColor rgb="FFA6CAF0"/>
      <rgbColor rgb="FFCC9CCC"/>
      <rgbColor rgb="FFCC99FF"/>
      <rgbColor rgb="FFD9D9D9"/>
      <rgbColor rgb="FF3333CC"/>
      <rgbColor rgb="FF33CCCC"/>
      <rgbColor rgb="FF99CC00"/>
      <rgbColor rgb="FFFFCC00"/>
      <rgbColor rgb="FFFF9900"/>
      <rgbColor rgb="FFFF6600"/>
      <rgbColor rgb="FF336666"/>
      <rgbColor rgb="FF969696"/>
      <rgbColor rgb="FF003366"/>
      <rgbColor rgb="FF339966"/>
      <rgbColor rgb="FF003300"/>
      <rgbColor rgb="FF663300"/>
      <rgbColor rgb="FF996633"/>
      <rgbColor rgb="FF993366"/>
      <rgbColor rgb="FF333399"/>
      <rgbColor rgb="FF424242"/>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2.xml.rels><?xml version="1.0" encoding="UTF-8"?>
<Relationships xmlns="http://schemas.openxmlformats.org/package/2006/relationships"><Relationship Id="rId1" Type="http://schemas.openxmlformats.org/officeDocument/2006/relationships/image" Target="../media/image1.wmf"/><Relationship Id="rId2" Type="http://schemas.openxmlformats.org/officeDocument/2006/relationships/image" Target="../media/image2.wmf"/>
</Relationships>
</file>

<file path=xl/drawings/_rels/drawing3.xml.rels><?xml version="1.0" encoding="UTF-8"?>
<Relationships xmlns="http://schemas.openxmlformats.org/package/2006/relationships"><Relationship Id="rId1" Type="http://schemas.openxmlformats.org/officeDocument/2006/relationships/image" Target="../media/image3.wmf"/><Relationship Id="rId2" Type="http://schemas.openxmlformats.org/officeDocument/2006/relationships/image" Target="../media/image4.wmf"/><Relationship Id="rId3" Type="http://schemas.openxmlformats.org/officeDocument/2006/relationships/image" Target="../media/image5.wmf"/>
</Relationships>
</file>

<file path=xl/drawings/_rels/drawing4.xml.rels><?xml version="1.0" encoding="UTF-8"?>
<Relationships xmlns="http://schemas.openxmlformats.org/package/2006/relationships"><Relationship Id="rId1" Type="http://schemas.openxmlformats.org/officeDocument/2006/relationships/image" Target="../media/image6.wmf"/><Relationship Id="rId2" Type="http://schemas.openxmlformats.org/officeDocument/2006/relationships/image" Target="../media/image7.wmf"/><Relationship Id="rId3" Type="http://schemas.openxmlformats.org/officeDocument/2006/relationships/image" Target="../media/image8.wmf"/><Relationship Id="rId4" Type="http://schemas.openxmlformats.org/officeDocument/2006/relationships/image" Target="../media/image9.wmf"/><Relationship Id="rId5" Type="http://schemas.openxmlformats.org/officeDocument/2006/relationships/image" Target="../media/image10.wmf"/>
</Relationships>
</file>

<file path=xl/drawings/_rels/drawing5.xml.rels><?xml version="1.0" encoding="UTF-8"?>
<Relationships xmlns="http://schemas.openxmlformats.org/package/2006/relationships"><Relationship Id="rId1" Type="http://schemas.openxmlformats.org/officeDocument/2006/relationships/image" Target="../media/image11.wmf"/><Relationship Id="rId2" Type="http://schemas.openxmlformats.org/officeDocument/2006/relationships/image" Target="../media/image12.wmf"/><Relationship Id="rId3" Type="http://schemas.openxmlformats.org/officeDocument/2006/relationships/image" Target="../media/image13.wmf"/><Relationship Id="rId4" Type="http://schemas.openxmlformats.org/officeDocument/2006/relationships/image" Target="../media/image14.wmf"/><Relationship Id="rId5" Type="http://schemas.openxmlformats.org/officeDocument/2006/relationships/image" Target="../media/image15.wmf"/><Relationship Id="rId6" Type="http://schemas.openxmlformats.org/officeDocument/2006/relationships/image" Target="../media/image16.wmf"/><Relationship Id="rId7" Type="http://schemas.openxmlformats.org/officeDocument/2006/relationships/image" Target="../media/image17.wmf"/><Relationship Id="rId8" Type="http://schemas.openxmlformats.org/officeDocument/2006/relationships/image" Target="../media/image18.wmf"/><Relationship Id="rId9" Type="http://schemas.openxmlformats.org/officeDocument/2006/relationships/image" Target="../media/image19.wmf"/><Relationship Id="rId10" Type="http://schemas.openxmlformats.org/officeDocument/2006/relationships/image" Target="../media/image20.wmf"/><Relationship Id="rId11" Type="http://schemas.openxmlformats.org/officeDocument/2006/relationships/image" Target="../media/image21.wmf"/><Relationship Id="rId12" Type="http://schemas.openxmlformats.org/officeDocument/2006/relationships/image" Target="../media/image22.wmf"/><Relationship Id="rId13" Type="http://schemas.openxmlformats.org/officeDocument/2006/relationships/image" Target="../media/image23.wmf"/><Relationship Id="rId14" Type="http://schemas.openxmlformats.org/officeDocument/2006/relationships/image" Target="../media/image24.wmf"/><Relationship Id="rId15" Type="http://schemas.openxmlformats.org/officeDocument/2006/relationships/image" Target="../media/image25.wm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12</xdr:col>
      <xdr:colOff>495360</xdr:colOff>
      <xdr:row>12</xdr:row>
      <xdr:rowOff>85680</xdr:rowOff>
    </xdr:from>
    <xdr:to>
      <xdr:col>15</xdr:col>
      <xdr:colOff>466560</xdr:colOff>
      <xdr:row>15</xdr:row>
      <xdr:rowOff>56880</xdr:rowOff>
    </xdr:to>
    <xdr:sp>
      <xdr:nvSpPr>
        <xdr:cNvPr id="0" name="CustomShape 1"/>
        <xdr:cNvSpPr/>
      </xdr:nvSpPr>
      <xdr:spPr>
        <a:xfrm>
          <a:off x="7871400" y="2185920"/>
          <a:ext cx="1815120" cy="457200"/>
        </a:xfrm>
        <a:prstGeom prst="rect">
          <a:avLst/>
        </a:prstGeom>
        <a:solidFill>
          <a:srgbClr val="d0cece"/>
        </a:solidFill>
        <a:ln w="6480">
          <a:solidFill>
            <a:srgbClr val="41719c"/>
          </a:solidFill>
          <a:miter/>
        </a:ln>
        <a:effectLst>
          <a:outerShdw algn="tl" dir="2700000" dist="63130" rotWithShape="0">
            <a:srgbClr val="000000"/>
          </a:outerShdw>
        </a:effectLst>
      </xdr:spPr>
      <xdr:style>
        <a:lnRef idx="0"/>
        <a:fillRef idx="0"/>
        <a:effectRef idx="0"/>
        <a:fontRef idx="minor"/>
      </xdr:style>
      <xdr:txBody>
        <a:bodyPr lIns="27360" rIns="27360" tIns="27360" bIns="27360" anchor="ctr"/>
        <a:p>
          <a:pPr algn="ctr">
            <a:lnSpc>
              <a:spcPct val="100000"/>
            </a:lnSpc>
          </a:pPr>
          <a:r>
            <a:rPr b="0" lang="pt-BR" sz="1050" spc="-1" strike="noStrike">
              <a:solidFill>
                <a:srgbClr val="000000"/>
              </a:solidFill>
              <a:latin typeface="Calibri"/>
            </a:rPr>
            <a:t>Importar PO</a:t>
          </a:r>
          <a:endParaRPr b="0" lang="pt-BR" sz="1050" spc="-1" strike="noStrike">
            <a:latin typeface="Times New Roman"/>
          </a:endParaRPr>
        </a:p>
        <a:p>
          <a:pPr algn="ctr">
            <a:lnSpc>
              <a:spcPct val="100000"/>
            </a:lnSpc>
          </a:pPr>
          <a:r>
            <a:rPr b="0" lang="pt-BR" sz="1050" spc="-1" strike="noStrike">
              <a:solidFill>
                <a:srgbClr val="000000"/>
              </a:solidFill>
              <a:latin typeface="Calibri"/>
            </a:rPr>
            <a:t>(MO27476)</a:t>
          </a:r>
          <a:endParaRPr b="0" lang="pt-BR" sz="1050" spc="-1" strike="noStrike">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absolute">
    <xdr:from>
      <xdr:col>19</xdr:col>
      <xdr:colOff>95400</xdr:colOff>
      <xdr:row>5</xdr:row>
      <xdr:rowOff>47520</xdr:rowOff>
    </xdr:from>
    <xdr:to>
      <xdr:col>19</xdr:col>
      <xdr:colOff>1152360</xdr:colOff>
      <xdr:row>7</xdr:row>
      <xdr:rowOff>142560</xdr:rowOff>
    </xdr:to>
    <xdr:sp>
      <xdr:nvSpPr>
        <xdr:cNvPr id="1" name="CustomShape 1"/>
        <xdr:cNvSpPr/>
      </xdr:nvSpPr>
      <xdr:spPr>
        <a:xfrm>
          <a:off x="8065080" y="885600"/>
          <a:ext cx="1056960" cy="342720"/>
        </a:xfrm>
        <a:prstGeom prst="rect">
          <a:avLst/>
        </a:prstGeom>
        <a:solidFill>
          <a:srgbClr val="e3e3e3"/>
        </a:solidFill>
        <a:ln w="9360">
          <a:solidFill>
            <a:srgbClr val="000000"/>
          </a:solidFill>
          <a:miter/>
        </a:ln>
        <a:effectLst>
          <a:outerShdw algn="ctr" dir="2700000" dist="53966" rotWithShape="0">
            <a:srgbClr val="000080"/>
          </a:outerShdw>
        </a:effectLst>
      </xdr:spPr>
      <xdr:style>
        <a:lnRef idx="0"/>
        <a:fillRef idx="0"/>
        <a:effectRef idx="0"/>
        <a:fontRef idx="minor"/>
      </xdr:style>
      <xdr:txBody>
        <a:bodyPr lIns="27360" rIns="27360" tIns="23040" bIns="23040" anchor="ctr"/>
        <a:p>
          <a:pPr algn="ctr">
            <a:lnSpc>
              <a:spcPct val="100000"/>
            </a:lnSpc>
          </a:pPr>
          <a:r>
            <a:rPr b="1" lang="pt-BR" sz="900" spc="-1" strike="noStrike">
              <a:solidFill>
                <a:srgbClr val="000000"/>
              </a:solidFill>
              <a:latin typeface="Arial"/>
            </a:rPr>
            <a:t>Adicionar BDI</a:t>
          </a:r>
          <a:endParaRPr b="0" lang="pt-BR" sz="900" spc="-1" strike="noStrike">
            <a:latin typeface="Times New Roman"/>
          </a:endParaRPr>
        </a:p>
      </xdr:txBody>
    </xdr:sp>
    <xdr:clientData/>
  </xdr:twoCellAnchor>
  <xdr:twoCellAnchor editAs="oneCell">
    <xdr:from>
      <xdr:col>8</xdr:col>
      <xdr:colOff>28440</xdr:colOff>
      <xdr:row>0</xdr:row>
      <xdr:rowOff>19080</xdr:rowOff>
    </xdr:from>
    <xdr:to>
      <xdr:col>10</xdr:col>
      <xdr:colOff>389880</xdr:colOff>
      <xdr:row>2</xdr:row>
      <xdr:rowOff>47160</xdr:rowOff>
    </xdr:to>
    <xdr:pic>
      <xdr:nvPicPr>
        <xdr:cNvPr id="2" name="Object 476" descr=""/>
        <xdr:cNvPicPr/>
      </xdr:nvPicPr>
      <xdr:blipFill>
        <a:blip r:embed="rId1"/>
        <a:stretch/>
      </xdr:blipFill>
      <xdr:spPr>
        <a:xfrm>
          <a:off x="28440" y="19080"/>
          <a:ext cx="1872720" cy="380160"/>
        </a:xfrm>
        <a:prstGeom prst="rect">
          <a:avLst/>
        </a:prstGeom>
        <a:ln>
          <a:noFill/>
        </a:ln>
      </xdr:spPr>
    </xdr:pic>
    <xdr:clientData/>
  </xdr:twoCellAnchor>
  <xdr:twoCellAnchor editAs="absolute">
    <xdr:from>
      <xdr:col>16</xdr:col>
      <xdr:colOff>314280</xdr:colOff>
      <xdr:row>0</xdr:row>
      <xdr:rowOff>28440</xdr:rowOff>
    </xdr:from>
    <xdr:to>
      <xdr:col>18</xdr:col>
      <xdr:colOff>19080</xdr:colOff>
      <xdr:row>2</xdr:row>
      <xdr:rowOff>56880</xdr:rowOff>
    </xdr:to>
    <xdr:pic>
      <xdr:nvPicPr>
        <xdr:cNvPr id="3" name="SigiloPic" descr=""/>
        <xdr:cNvPicPr/>
      </xdr:nvPicPr>
      <xdr:blipFill>
        <a:blip r:embed="rId2"/>
        <a:stretch/>
      </xdr:blipFill>
      <xdr:spPr>
        <a:xfrm>
          <a:off x="6510960" y="28440"/>
          <a:ext cx="1216080" cy="380520"/>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10</xdr:col>
      <xdr:colOff>57240</xdr:colOff>
      <xdr:row>0</xdr:row>
      <xdr:rowOff>19080</xdr:rowOff>
    </xdr:from>
    <xdr:to>
      <xdr:col>11</xdr:col>
      <xdr:colOff>1009440</xdr:colOff>
      <xdr:row>2</xdr:row>
      <xdr:rowOff>75960</xdr:rowOff>
    </xdr:to>
    <xdr:pic>
      <xdr:nvPicPr>
        <xdr:cNvPr id="4" name="Object 5675" descr=""/>
        <xdr:cNvPicPr/>
      </xdr:nvPicPr>
      <xdr:blipFill>
        <a:blip r:embed="rId1"/>
        <a:stretch/>
      </xdr:blipFill>
      <xdr:spPr>
        <a:xfrm>
          <a:off x="671760" y="19080"/>
          <a:ext cx="1848960" cy="383040"/>
        </a:xfrm>
        <a:prstGeom prst="rect">
          <a:avLst/>
        </a:prstGeom>
        <a:ln>
          <a:noFill/>
        </a:ln>
      </xdr:spPr>
    </xdr:pic>
    <xdr:clientData/>
  </xdr:twoCellAnchor>
  <xdr:twoCellAnchor editAs="twoCell">
    <xdr:from>
      <xdr:col>13</xdr:col>
      <xdr:colOff>154800</xdr:colOff>
      <xdr:row>9</xdr:row>
      <xdr:rowOff>83520</xdr:rowOff>
    </xdr:from>
    <xdr:to>
      <xdr:col>13</xdr:col>
      <xdr:colOff>1630800</xdr:colOff>
      <xdr:row>9</xdr:row>
      <xdr:rowOff>264240</xdr:rowOff>
    </xdr:to>
    <xdr:sp>
      <xdr:nvSpPr>
        <xdr:cNvPr id="5" name="CustomShape 1"/>
        <xdr:cNvSpPr/>
      </xdr:nvSpPr>
      <xdr:spPr>
        <a:xfrm>
          <a:off x="3883320" y="2220120"/>
          <a:ext cx="1476000" cy="180720"/>
        </a:xfrm>
        <a:prstGeom prst="rect">
          <a:avLst/>
        </a:prstGeom>
        <a:solidFill>
          <a:srgbClr val="99ff99"/>
        </a:solidFill>
        <a:ln w="9360">
          <a:solidFill>
            <a:srgbClr val="000000"/>
          </a:solidFill>
          <a:miter/>
        </a:ln>
        <a:effectLst>
          <a:outerShdw algn="ctr" dir="2700000" dist="53966" rotWithShape="0">
            <a:srgbClr val="000080"/>
          </a:outerShdw>
        </a:effectLst>
      </xdr:spPr>
      <xdr:style>
        <a:lnRef idx="0"/>
        <a:fillRef idx="0"/>
        <a:effectRef idx="0"/>
        <a:fontRef idx="minor"/>
      </xdr:style>
      <xdr:txBody>
        <a:bodyPr lIns="27360" rIns="27360" tIns="23040" bIns="23040" anchor="ctr"/>
        <a:p>
          <a:pPr algn="ctr">
            <a:lnSpc>
              <a:spcPct val="100000"/>
            </a:lnSpc>
          </a:pPr>
          <a:r>
            <a:rPr b="1" lang="pt-BR" sz="900" spc="-1" strike="noStrike">
              <a:solidFill>
                <a:srgbClr val="000000"/>
              </a:solidFill>
              <a:latin typeface="Arial"/>
            </a:rPr>
            <a:t>EDITAR PLANILHA</a:t>
          </a:r>
          <a:endParaRPr b="0" lang="pt-BR" sz="900" spc="-1" strike="noStrike">
            <a:latin typeface="Times New Roman"/>
          </a:endParaRPr>
        </a:p>
      </xdr:txBody>
    </xdr:sp>
    <xdr:clientData/>
  </xdr:twoCellAnchor>
  <xdr:twoCellAnchor editAs="twoCell">
    <xdr:from>
      <xdr:col>13</xdr:col>
      <xdr:colOff>3762360</xdr:colOff>
      <xdr:row>7</xdr:row>
      <xdr:rowOff>166680</xdr:rowOff>
    </xdr:from>
    <xdr:to>
      <xdr:col>13</xdr:col>
      <xdr:colOff>5076360</xdr:colOff>
      <xdr:row>9</xdr:row>
      <xdr:rowOff>154440</xdr:rowOff>
    </xdr:to>
    <xdr:sp>
      <xdr:nvSpPr>
        <xdr:cNvPr id="6" name="CustomShape 1"/>
        <xdr:cNvSpPr/>
      </xdr:nvSpPr>
      <xdr:spPr>
        <a:xfrm>
          <a:off x="7490880" y="1922400"/>
          <a:ext cx="1314000" cy="368640"/>
        </a:xfrm>
        <a:prstGeom prst="rect">
          <a:avLst/>
        </a:prstGeom>
        <a:solidFill>
          <a:srgbClr val="33cccc"/>
        </a:solidFill>
        <a:ln w="9360">
          <a:solidFill>
            <a:srgbClr val="000000"/>
          </a:solidFill>
          <a:miter/>
        </a:ln>
        <a:effectLst>
          <a:outerShdw algn="ctr" dir="2700000" dist="53966" rotWithShape="0">
            <a:srgbClr val="000080"/>
          </a:outerShdw>
        </a:effectLst>
      </xdr:spPr>
      <xdr:style>
        <a:lnRef idx="0"/>
        <a:fillRef idx="0"/>
        <a:effectRef idx="0"/>
        <a:fontRef idx="minor"/>
      </xdr:style>
      <xdr:txBody>
        <a:bodyPr lIns="27360" rIns="27360" tIns="23040" bIns="23040" anchor="ctr"/>
        <a:p>
          <a:pPr algn="ctr">
            <a:lnSpc>
              <a:spcPct val="100000"/>
            </a:lnSpc>
          </a:pPr>
          <a:r>
            <a:rPr b="1" lang="pt-BR" sz="900" spc="-1" strike="noStrike">
              <a:solidFill>
                <a:srgbClr val="000000"/>
              </a:solidFill>
              <a:latin typeface="Arial"/>
            </a:rPr>
            <a:t>LICITAR / REPROGRAMAR</a:t>
          </a:r>
          <a:endParaRPr b="0" lang="pt-BR" sz="900" spc="-1" strike="noStrike">
            <a:latin typeface="Times New Roman"/>
          </a:endParaRPr>
        </a:p>
      </xdr:txBody>
    </xdr:sp>
    <xdr:clientData/>
  </xdr:twoCellAnchor>
  <xdr:twoCellAnchor editAs="twoCell">
    <xdr:from>
      <xdr:col>13</xdr:col>
      <xdr:colOff>154800</xdr:colOff>
      <xdr:row>7</xdr:row>
      <xdr:rowOff>178560</xdr:rowOff>
    </xdr:from>
    <xdr:to>
      <xdr:col>13</xdr:col>
      <xdr:colOff>1630800</xdr:colOff>
      <xdr:row>9</xdr:row>
      <xdr:rowOff>14040</xdr:rowOff>
    </xdr:to>
    <xdr:sp>
      <xdr:nvSpPr>
        <xdr:cNvPr id="7" name="CustomShape 1"/>
        <xdr:cNvSpPr/>
      </xdr:nvSpPr>
      <xdr:spPr>
        <a:xfrm>
          <a:off x="3883320" y="1934280"/>
          <a:ext cx="1476000" cy="216360"/>
        </a:xfrm>
        <a:prstGeom prst="rect">
          <a:avLst/>
        </a:prstGeom>
        <a:solidFill>
          <a:srgbClr val="99ff99"/>
        </a:solidFill>
        <a:ln w="9360">
          <a:solidFill>
            <a:srgbClr val="000000"/>
          </a:solidFill>
          <a:miter/>
        </a:ln>
        <a:effectLst>
          <a:outerShdw algn="ctr" dir="2700000" dist="53966" rotWithShape="0">
            <a:srgbClr val="000080"/>
          </a:outerShdw>
        </a:effectLst>
      </xdr:spPr>
      <xdr:style>
        <a:lnRef idx="0"/>
        <a:fillRef idx="0"/>
        <a:effectRef idx="0"/>
        <a:fontRef idx="minor"/>
      </xdr:style>
      <xdr:txBody>
        <a:bodyPr lIns="27360" rIns="27360" tIns="23040" bIns="23040" anchor="ctr"/>
        <a:p>
          <a:pPr algn="ctr">
            <a:lnSpc>
              <a:spcPct val="100000"/>
            </a:lnSpc>
          </a:pPr>
          <a:r>
            <a:rPr b="1" lang="pt-BR" sz="900" spc="-1" strike="noStrike">
              <a:solidFill>
                <a:srgbClr val="000000"/>
              </a:solidFill>
              <a:latin typeface="Arial"/>
            </a:rPr>
            <a:t>FIXAR DESCRICOES</a:t>
          </a:r>
          <a:endParaRPr b="0" lang="pt-BR" sz="900" spc="-1" strike="noStrike">
            <a:latin typeface="Times New Roman"/>
          </a:endParaRPr>
        </a:p>
      </xdr:txBody>
    </xdr:sp>
    <xdr:clientData/>
  </xdr:twoCellAnchor>
  <xdr:twoCellAnchor editAs="twoCell">
    <xdr:from>
      <xdr:col>13</xdr:col>
      <xdr:colOff>152280</xdr:colOff>
      <xdr:row>6</xdr:row>
      <xdr:rowOff>235800</xdr:rowOff>
    </xdr:from>
    <xdr:to>
      <xdr:col>13</xdr:col>
      <xdr:colOff>1628280</xdr:colOff>
      <xdr:row>7</xdr:row>
      <xdr:rowOff>106920</xdr:rowOff>
    </xdr:to>
    <xdr:sp>
      <xdr:nvSpPr>
        <xdr:cNvPr id="8" name="CustomShape 1"/>
        <xdr:cNvSpPr/>
      </xdr:nvSpPr>
      <xdr:spPr>
        <a:xfrm>
          <a:off x="3880800" y="1674360"/>
          <a:ext cx="1476000" cy="188280"/>
        </a:xfrm>
        <a:prstGeom prst="rect">
          <a:avLst/>
        </a:prstGeom>
        <a:solidFill>
          <a:srgbClr val="99ff99"/>
        </a:solidFill>
        <a:ln w="9360">
          <a:solidFill>
            <a:srgbClr val="000000"/>
          </a:solidFill>
          <a:miter/>
        </a:ln>
        <a:effectLst>
          <a:outerShdw algn="ctr" dir="2700000" dist="53966" rotWithShape="0">
            <a:srgbClr val="000080"/>
          </a:outerShdw>
        </a:effectLst>
      </xdr:spPr>
      <xdr:style>
        <a:lnRef idx="0"/>
        <a:fillRef idx="0"/>
        <a:effectRef idx="0"/>
        <a:fontRef idx="minor"/>
      </xdr:style>
      <xdr:txBody>
        <a:bodyPr lIns="27360" rIns="27360" tIns="23040" bIns="23040" anchor="ctr"/>
        <a:p>
          <a:pPr algn="ctr">
            <a:lnSpc>
              <a:spcPct val="100000"/>
            </a:lnSpc>
          </a:pPr>
          <a:r>
            <a:rPr b="1" lang="pt-BR" sz="900" spc="-1" strike="noStrike">
              <a:solidFill>
                <a:srgbClr val="000000"/>
              </a:solidFill>
              <a:latin typeface="Arial"/>
            </a:rPr>
            <a:t>BUSCAR CÓDIGO</a:t>
          </a:r>
          <a:endParaRPr b="0" lang="pt-BR" sz="900" spc="-1" strike="noStrike">
            <a:latin typeface="Times New Roman"/>
          </a:endParaRPr>
        </a:p>
      </xdr:txBody>
    </xdr:sp>
    <xdr:clientData/>
  </xdr:twoCellAnchor>
  <xdr:twoCellAnchor editAs="oneCell">
    <xdr:from>
      <xdr:col>14</xdr:col>
      <xdr:colOff>714240</xdr:colOff>
      <xdr:row>6</xdr:row>
      <xdr:rowOff>285840</xdr:rowOff>
    </xdr:from>
    <xdr:to>
      <xdr:col>19</xdr:col>
      <xdr:colOff>1047240</xdr:colOff>
      <xdr:row>7</xdr:row>
      <xdr:rowOff>330480</xdr:rowOff>
    </xdr:to>
    <xdr:sp>
      <xdr:nvSpPr>
        <xdr:cNvPr id="9" name="CustomShape 1"/>
        <xdr:cNvSpPr/>
      </xdr:nvSpPr>
      <xdr:spPr>
        <a:xfrm flipH="1">
          <a:off x="10137600" y="1724400"/>
          <a:ext cx="5170320" cy="361800"/>
        </a:xfrm>
        <a:prstGeom prst="rect">
          <a:avLst/>
        </a:prstGeom>
        <a:noFill/>
        <a:ln w="6480">
          <a:solidFill>
            <a:srgbClr val="000000"/>
          </a:solidFill>
          <a:miter/>
        </a:ln>
      </xdr:spPr>
      <xdr:style>
        <a:lnRef idx="0"/>
        <a:fillRef idx="0"/>
        <a:effectRef idx="0"/>
        <a:fontRef idx="minor"/>
      </xdr:style>
      <xdr:txBody>
        <a:bodyPr lIns="27360" rIns="27360" tIns="23040" bIns="0"/>
        <a:p>
          <a:pPr algn="ctr">
            <a:lnSpc>
              <a:spcPct val="100000"/>
            </a:lnSpc>
          </a:pPr>
          <a:r>
            <a:rPr b="0" lang="pt-BR" sz="1000" spc="-1" strike="noStrike">
              <a:solidFill>
                <a:srgbClr val="000000"/>
              </a:solidFill>
              <a:latin typeface="Arial"/>
            </a:rPr>
            <a:t>Considerar valores arredondados com (0,00)</a:t>
          </a:r>
          <a:endParaRPr b="0" lang="pt-BR" sz="1000" spc="-1" strike="noStrike">
            <a:latin typeface="Times New Roman"/>
          </a:endParaRPr>
        </a:p>
      </xdr:txBody>
    </xdr:sp>
    <xdr:clientData/>
  </xdr:twoCellAnchor>
  <xdr:twoCellAnchor editAs="absolute">
    <xdr:from>
      <xdr:col>10</xdr:col>
      <xdr:colOff>0</xdr:colOff>
      <xdr:row>3</xdr:row>
      <xdr:rowOff>0</xdr:rowOff>
    </xdr:from>
    <xdr:to>
      <xdr:col>19</xdr:col>
      <xdr:colOff>924120</xdr:colOff>
      <xdr:row>6</xdr:row>
      <xdr:rowOff>219240</xdr:rowOff>
    </xdr:to>
    <xdr:pic>
      <xdr:nvPicPr>
        <xdr:cNvPr id="10" name="Picture 482" descr=""/>
        <xdr:cNvPicPr/>
      </xdr:nvPicPr>
      <xdr:blipFill>
        <a:blip r:embed="rId2"/>
        <a:stretch/>
      </xdr:blipFill>
      <xdr:spPr>
        <a:xfrm>
          <a:off x="614520" y="488160"/>
          <a:ext cx="14570280" cy="1169640"/>
        </a:xfrm>
        <a:prstGeom prst="rect">
          <a:avLst/>
        </a:prstGeom>
        <a:ln>
          <a:noFill/>
        </a:ln>
      </xdr:spPr>
    </xdr:pic>
    <xdr:clientData/>
  </xdr:twoCellAnchor>
  <xdr:twoCellAnchor editAs="absolute">
    <xdr:from>
      <xdr:col>13</xdr:col>
      <xdr:colOff>3686760</xdr:colOff>
      <xdr:row>41</xdr:row>
      <xdr:rowOff>0</xdr:rowOff>
    </xdr:from>
    <xdr:to>
      <xdr:col>19</xdr:col>
      <xdr:colOff>114480</xdr:colOff>
      <xdr:row>46</xdr:row>
      <xdr:rowOff>9360</xdr:rowOff>
    </xdr:to>
    <xdr:pic>
      <xdr:nvPicPr>
        <xdr:cNvPr id="11" name="Picture 483" descr=""/>
        <xdr:cNvPicPr/>
      </xdr:nvPicPr>
      <xdr:blipFill>
        <a:blip r:embed="rId3"/>
        <a:stretch/>
      </xdr:blipFill>
      <xdr:spPr>
        <a:xfrm>
          <a:off x="7415280" y="7565760"/>
          <a:ext cx="6959880" cy="819000"/>
        </a:xfrm>
        <a:prstGeom prst="rect">
          <a:avLst/>
        </a:prstGeom>
        <a:ln>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28440</xdr:colOff>
      <xdr:row>0</xdr:row>
      <xdr:rowOff>28440</xdr:rowOff>
    </xdr:from>
    <xdr:to>
      <xdr:col>2</xdr:col>
      <xdr:colOff>1104480</xdr:colOff>
      <xdr:row>1</xdr:row>
      <xdr:rowOff>190080</xdr:rowOff>
    </xdr:to>
    <xdr:pic>
      <xdr:nvPicPr>
        <xdr:cNvPr id="12" name="Object 13472" descr=""/>
        <xdr:cNvPicPr/>
      </xdr:nvPicPr>
      <xdr:blipFill>
        <a:blip r:embed="rId1"/>
        <a:stretch/>
      </xdr:blipFill>
      <xdr:spPr>
        <a:xfrm>
          <a:off x="924840" y="28440"/>
          <a:ext cx="1831680" cy="380520"/>
        </a:xfrm>
        <a:prstGeom prst="rect">
          <a:avLst/>
        </a:prstGeom>
        <a:ln>
          <a:noFill/>
        </a:ln>
      </xdr:spPr>
    </xdr:pic>
    <xdr:clientData/>
  </xdr:twoCellAnchor>
  <xdr:twoCellAnchor editAs="twoCell">
    <xdr:from>
      <xdr:col>3</xdr:col>
      <xdr:colOff>28440</xdr:colOff>
      <xdr:row>8</xdr:row>
      <xdr:rowOff>123840</xdr:rowOff>
    </xdr:from>
    <xdr:to>
      <xdr:col>4</xdr:col>
      <xdr:colOff>799560</xdr:colOff>
      <xdr:row>8</xdr:row>
      <xdr:rowOff>637920</xdr:rowOff>
    </xdr:to>
    <xdr:sp>
      <xdr:nvSpPr>
        <xdr:cNvPr id="13" name="CustomShape 1"/>
        <xdr:cNvSpPr/>
      </xdr:nvSpPr>
      <xdr:spPr>
        <a:xfrm>
          <a:off x="5954760" y="2103120"/>
          <a:ext cx="1315440" cy="514080"/>
        </a:xfrm>
        <a:prstGeom prst="rightArrow">
          <a:avLst>
            <a:gd name="adj1" fmla="val 50000"/>
            <a:gd name="adj2" fmla="val 57203"/>
          </a:avLst>
        </a:prstGeom>
        <a:solidFill>
          <a:srgbClr val="ccffcc"/>
        </a:solidFill>
        <a:ln w="9360">
          <a:solidFill>
            <a:srgbClr val="000000"/>
          </a:solidFill>
          <a:miter/>
        </a:ln>
        <a:effectLst>
          <a:outerShdw algn="ctr" dir="2700000" dist="53966" rotWithShape="0">
            <a:srgbClr val="000080"/>
          </a:outerShdw>
        </a:effectLst>
      </xdr:spPr>
      <xdr:style>
        <a:lnRef idx="0"/>
        <a:fillRef idx="0"/>
        <a:effectRef idx="0"/>
        <a:fontRef idx="minor"/>
      </xdr:style>
      <xdr:txBody>
        <a:bodyPr lIns="27360" rIns="27360" tIns="23040" bIns="23040"/>
        <a:p>
          <a:pPr>
            <a:lnSpc>
              <a:spcPct val="100000"/>
            </a:lnSpc>
          </a:pPr>
          <a:r>
            <a:rPr b="1" lang="pt-BR" sz="1000" spc="-1" strike="noStrike">
              <a:solidFill>
                <a:srgbClr val="000000"/>
              </a:solidFill>
              <a:latin typeface="Arial"/>
            </a:rPr>
            <a:t>Frente de Obra:</a:t>
          </a:r>
          <a:endParaRPr b="0" lang="pt-BR" sz="1000" spc="-1" strike="noStrike">
            <a:latin typeface="Times New Roman"/>
          </a:endParaRPr>
        </a:p>
      </xdr:txBody>
    </xdr:sp>
    <xdr:clientData/>
  </xdr:twoCellAnchor>
  <xdr:twoCellAnchor editAs="oneCell">
    <xdr:from>
      <xdr:col>2</xdr:col>
      <xdr:colOff>676440</xdr:colOff>
      <xdr:row>8</xdr:row>
      <xdr:rowOff>104760</xdr:rowOff>
    </xdr:from>
    <xdr:to>
      <xdr:col>2</xdr:col>
      <xdr:colOff>1704960</xdr:colOff>
      <xdr:row>8</xdr:row>
      <xdr:rowOff>485280</xdr:rowOff>
    </xdr:to>
    <xdr:sp>
      <xdr:nvSpPr>
        <xdr:cNvPr id="14" name="CustomShape 1"/>
        <xdr:cNvSpPr/>
      </xdr:nvSpPr>
      <xdr:spPr>
        <a:xfrm>
          <a:off x="2328480" y="2084040"/>
          <a:ext cx="1028520" cy="380520"/>
        </a:xfrm>
        <a:prstGeom prst="rect">
          <a:avLst/>
        </a:prstGeom>
        <a:solidFill>
          <a:srgbClr val="99ff99"/>
        </a:solidFill>
        <a:ln w="9360">
          <a:solidFill>
            <a:srgbClr val="000000"/>
          </a:solidFill>
          <a:miter/>
        </a:ln>
        <a:effectLst>
          <a:outerShdw algn="ctr" dir="2700000" dist="53966" rotWithShape="0">
            <a:srgbClr val="000080"/>
          </a:outerShdw>
        </a:effectLst>
      </xdr:spPr>
      <xdr:style>
        <a:lnRef idx="0"/>
        <a:fillRef idx="0"/>
        <a:effectRef idx="0"/>
        <a:fontRef idx="minor"/>
      </xdr:style>
      <xdr:txBody>
        <a:bodyPr lIns="27360" rIns="27360" tIns="23040" bIns="23040" anchor="ctr"/>
        <a:p>
          <a:pPr algn="ctr">
            <a:lnSpc>
              <a:spcPct val="100000"/>
            </a:lnSpc>
          </a:pPr>
          <a:r>
            <a:rPr b="1" lang="pt-BR" sz="900" spc="-1" strike="noStrike">
              <a:solidFill>
                <a:srgbClr val="000000"/>
              </a:solidFill>
              <a:latin typeface="Arial"/>
            </a:rPr>
            <a:t>ADICIONAR 10 FRENTES</a:t>
          </a:r>
          <a:endParaRPr b="0" lang="pt-BR" sz="900" spc="-1" strike="noStrike">
            <a:latin typeface="Times New Roman"/>
          </a:endParaRPr>
        </a:p>
      </xdr:txBody>
    </xdr:sp>
    <xdr:clientData/>
  </xdr:twoCellAnchor>
  <xdr:twoCellAnchor editAs="oneCell">
    <xdr:from>
      <xdr:col>2</xdr:col>
      <xdr:colOff>1971720</xdr:colOff>
      <xdr:row>8</xdr:row>
      <xdr:rowOff>104760</xdr:rowOff>
    </xdr:from>
    <xdr:to>
      <xdr:col>2</xdr:col>
      <xdr:colOff>3000240</xdr:colOff>
      <xdr:row>8</xdr:row>
      <xdr:rowOff>485280</xdr:rowOff>
    </xdr:to>
    <xdr:sp>
      <xdr:nvSpPr>
        <xdr:cNvPr id="15" name="CustomShape 1"/>
        <xdr:cNvSpPr/>
      </xdr:nvSpPr>
      <xdr:spPr>
        <a:xfrm>
          <a:off x="3623760" y="2084040"/>
          <a:ext cx="1028520" cy="380520"/>
        </a:xfrm>
        <a:prstGeom prst="rect">
          <a:avLst/>
        </a:prstGeom>
        <a:solidFill>
          <a:srgbClr val="993366"/>
        </a:solidFill>
        <a:ln w="9360">
          <a:solidFill>
            <a:srgbClr val="000000"/>
          </a:solidFill>
          <a:miter/>
        </a:ln>
        <a:effectLst>
          <a:outerShdw algn="ctr" dir="2700000" dist="53966" rotWithShape="0">
            <a:srgbClr val="000080"/>
          </a:outerShdw>
        </a:effectLst>
      </xdr:spPr>
      <xdr:style>
        <a:lnRef idx="0"/>
        <a:fillRef idx="0"/>
        <a:effectRef idx="0"/>
        <a:fontRef idx="minor"/>
      </xdr:style>
      <xdr:txBody>
        <a:bodyPr lIns="27360" rIns="27360" tIns="23040" bIns="23040" anchor="ctr"/>
        <a:p>
          <a:pPr algn="ctr">
            <a:lnSpc>
              <a:spcPct val="100000"/>
            </a:lnSpc>
          </a:pPr>
          <a:r>
            <a:rPr b="1" lang="pt-BR" sz="900" spc="-1" strike="noStrike">
              <a:solidFill>
                <a:srgbClr val="ffffff"/>
              </a:solidFill>
              <a:latin typeface="Arial"/>
            </a:rPr>
            <a:t>EXCLUIR 10 FRENTES</a:t>
          </a:r>
          <a:endParaRPr b="0" lang="pt-BR" sz="900" spc="-1" strike="noStrike">
            <a:latin typeface="Times New Roman"/>
          </a:endParaRPr>
        </a:p>
      </xdr:txBody>
    </xdr:sp>
    <xdr:clientData/>
  </xdr:twoCellAnchor>
  <xdr:twoCellAnchor editAs="absolute">
    <xdr:from>
      <xdr:col>1</xdr:col>
      <xdr:colOff>0</xdr:colOff>
      <xdr:row>3</xdr:row>
      <xdr:rowOff>0</xdr:rowOff>
    </xdr:from>
    <xdr:to>
      <xdr:col>4</xdr:col>
      <xdr:colOff>809640</xdr:colOff>
      <xdr:row>5</xdr:row>
      <xdr:rowOff>123840</xdr:rowOff>
    </xdr:to>
    <xdr:pic>
      <xdr:nvPicPr>
        <xdr:cNvPr id="16" name="PIC1" descr=""/>
        <xdr:cNvPicPr/>
      </xdr:nvPicPr>
      <xdr:blipFill>
        <a:blip r:embed="rId2"/>
        <a:stretch/>
      </xdr:blipFill>
      <xdr:spPr>
        <a:xfrm>
          <a:off x="896400" y="580680"/>
          <a:ext cx="6383880" cy="1138680"/>
        </a:xfrm>
        <a:prstGeom prst="rect">
          <a:avLst/>
        </a:prstGeom>
        <a:ln>
          <a:noFill/>
        </a:ln>
      </xdr:spPr>
    </xdr:pic>
    <xdr:clientData/>
  </xdr:twoCellAnchor>
  <xdr:twoCellAnchor editAs="absolute">
    <xdr:from>
      <xdr:col>5</xdr:col>
      <xdr:colOff>0</xdr:colOff>
      <xdr:row>3</xdr:row>
      <xdr:rowOff>0</xdr:rowOff>
    </xdr:from>
    <xdr:to>
      <xdr:col>14</xdr:col>
      <xdr:colOff>771480</xdr:colOff>
      <xdr:row>5</xdr:row>
      <xdr:rowOff>123840</xdr:rowOff>
    </xdr:to>
    <xdr:pic>
      <xdr:nvPicPr>
        <xdr:cNvPr id="17" name="PIC2" descr=""/>
        <xdr:cNvPicPr/>
      </xdr:nvPicPr>
      <xdr:blipFill>
        <a:blip r:embed="rId3"/>
        <a:stretch/>
      </xdr:blipFill>
      <xdr:spPr>
        <a:xfrm>
          <a:off x="7367040" y="580680"/>
          <a:ext cx="8206920" cy="1138680"/>
        </a:xfrm>
        <a:prstGeom prst="rect">
          <a:avLst/>
        </a:prstGeom>
        <a:ln>
          <a:noFill/>
        </a:ln>
      </xdr:spPr>
    </xdr:pic>
    <xdr:clientData/>
  </xdr:twoCellAnchor>
  <xdr:twoCellAnchor editAs="absolute">
    <xdr:from>
      <xdr:col>5</xdr:col>
      <xdr:colOff>704880</xdr:colOff>
      <xdr:row>32</xdr:row>
      <xdr:rowOff>9360</xdr:rowOff>
    </xdr:from>
    <xdr:to>
      <xdr:col>14</xdr:col>
      <xdr:colOff>28440</xdr:colOff>
      <xdr:row>36</xdr:row>
      <xdr:rowOff>152280</xdr:rowOff>
    </xdr:to>
    <xdr:pic>
      <xdr:nvPicPr>
        <xdr:cNvPr id="18" name="Picture 483" descr=""/>
        <xdr:cNvPicPr/>
      </xdr:nvPicPr>
      <xdr:blipFill>
        <a:blip r:embed="rId4"/>
        <a:stretch/>
      </xdr:blipFill>
      <xdr:spPr>
        <a:xfrm>
          <a:off x="8071920" y="6531840"/>
          <a:ext cx="6759000" cy="790560"/>
        </a:xfrm>
        <a:prstGeom prst="rect">
          <a:avLst/>
        </a:prstGeom>
        <a:ln>
          <a:noFill/>
        </a:ln>
      </xdr:spPr>
    </xdr:pic>
    <xdr:clientData/>
  </xdr:twoCellAnchor>
  <xdr:twoCellAnchor editAs="absolute">
    <xdr:from>
      <xdr:col>13</xdr:col>
      <xdr:colOff>352440</xdr:colOff>
      <xdr:row>0</xdr:row>
      <xdr:rowOff>57240</xdr:rowOff>
    </xdr:from>
    <xdr:to>
      <xdr:col>14</xdr:col>
      <xdr:colOff>704880</xdr:colOff>
      <xdr:row>2</xdr:row>
      <xdr:rowOff>19080</xdr:rowOff>
    </xdr:to>
    <xdr:pic>
      <xdr:nvPicPr>
        <xdr:cNvPr id="19" name="SigiloPic" descr=""/>
        <xdr:cNvPicPr/>
      </xdr:nvPicPr>
      <xdr:blipFill>
        <a:blip r:embed="rId5"/>
        <a:stretch/>
      </xdr:blipFill>
      <xdr:spPr>
        <a:xfrm>
          <a:off x="14328720" y="57240"/>
          <a:ext cx="1178640" cy="380880"/>
        </a:xfrm>
        <a:prstGeom prst="rect">
          <a:avLst/>
        </a:prstGeom>
        <a:ln>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dr:twoCellAnchor editAs="oneCell">
    <xdr:from>
      <xdr:col>11</xdr:col>
      <xdr:colOff>57240</xdr:colOff>
      <xdr:row>0</xdr:row>
      <xdr:rowOff>38160</xdr:rowOff>
    </xdr:from>
    <xdr:to>
      <xdr:col>12</xdr:col>
      <xdr:colOff>1133280</xdr:colOff>
      <xdr:row>2</xdr:row>
      <xdr:rowOff>95040</xdr:rowOff>
    </xdr:to>
    <xdr:pic>
      <xdr:nvPicPr>
        <xdr:cNvPr id="20" name="Object 125890" descr=""/>
        <xdr:cNvPicPr/>
      </xdr:nvPicPr>
      <xdr:blipFill>
        <a:blip r:embed="rId1"/>
        <a:stretch/>
      </xdr:blipFill>
      <xdr:spPr>
        <a:xfrm>
          <a:off x="57240" y="38160"/>
          <a:ext cx="1831680" cy="383040"/>
        </a:xfrm>
        <a:prstGeom prst="rect">
          <a:avLst/>
        </a:prstGeom>
        <a:ln>
          <a:noFill/>
        </a:ln>
      </xdr:spPr>
    </xdr:pic>
    <xdr:clientData/>
  </xdr:twoCellAnchor>
  <xdr:twoCellAnchor editAs="oneCell">
    <xdr:from>
      <xdr:col>11</xdr:col>
      <xdr:colOff>628560</xdr:colOff>
      <xdr:row>7</xdr:row>
      <xdr:rowOff>209520</xdr:rowOff>
    </xdr:from>
    <xdr:to>
      <xdr:col>12</xdr:col>
      <xdr:colOff>1694880</xdr:colOff>
      <xdr:row>8</xdr:row>
      <xdr:rowOff>178920</xdr:rowOff>
    </xdr:to>
    <xdr:sp>
      <xdr:nvSpPr>
        <xdr:cNvPr id="21" name="CustomShape 1"/>
        <xdr:cNvSpPr/>
      </xdr:nvSpPr>
      <xdr:spPr>
        <a:xfrm>
          <a:off x="628560" y="1924560"/>
          <a:ext cx="1821960" cy="350280"/>
        </a:xfrm>
        <a:prstGeom prst="rect">
          <a:avLst/>
        </a:prstGeom>
        <a:solidFill>
          <a:srgbClr val="99ff99"/>
        </a:solidFill>
        <a:ln w="9360">
          <a:solidFill>
            <a:srgbClr val="000000"/>
          </a:solidFill>
          <a:miter/>
        </a:ln>
        <a:effectLst>
          <a:outerShdw algn="ctr" dir="2700000" dist="53966" rotWithShape="0">
            <a:srgbClr val="000080"/>
          </a:outerShdw>
        </a:effectLst>
      </xdr:spPr>
      <xdr:style>
        <a:lnRef idx="0"/>
        <a:fillRef idx="0"/>
        <a:effectRef idx="0"/>
        <a:fontRef idx="minor"/>
      </xdr:style>
      <xdr:txBody>
        <a:bodyPr lIns="27360" rIns="27360" tIns="23040" bIns="23040" anchor="ctr"/>
        <a:p>
          <a:pPr algn="ctr">
            <a:lnSpc>
              <a:spcPct val="100000"/>
            </a:lnSpc>
          </a:pPr>
          <a:r>
            <a:rPr b="1" lang="pt-BR" sz="900" spc="-1" strike="noStrike">
              <a:solidFill>
                <a:srgbClr val="000000"/>
              </a:solidFill>
              <a:latin typeface="Arial"/>
            </a:rPr>
            <a:t>EDITAR / ATUALIZAR CRONOGRAMA</a:t>
          </a:r>
          <a:endParaRPr b="0" lang="pt-BR" sz="900" spc="-1" strike="noStrike">
            <a:latin typeface="Times New Roman"/>
          </a:endParaRPr>
        </a:p>
      </xdr:txBody>
    </xdr:sp>
    <xdr:clientData/>
  </xdr:twoCellAnchor>
  <xdr:twoCellAnchor editAs="absolute">
    <xdr:from>
      <xdr:col>15</xdr:col>
      <xdr:colOff>0</xdr:colOff>
      <xdr:row>3</xdr:row>
      <xdr:rowOff>0</xdr:rowOff>
    </xdr:from>
    <xdr:to>
      <xdr:col>22</xdr:col>
      <xdr:colOff>1108800</xdr:colOff>
      <xdr:row>6</xdr:row>
      <xdr:rowOff>219240</xdr:rowOff>
    </xdr:to>
    <xdr:pic>
      <xdr:nvPicPr>
        <xdr:cNvPr id="22" name="PIC2" descr=""/>
        <xdr:cNvPicPr/>
      </xdr:nvPicPr>
      <xdr:blipFill>
        <a:blip r:embed="rId2"/>
        <a:stretch/>
      </xdr:blipFill>
      <xdr:spPr>
        <a:xfrm>
          <a:off x="5946120" y="488160"/>
          <a:ext cx="8869680" cy="1169640"/>
        </a:xfrm>
        <a:prstGeom prst="rect">
          <a:avLst/>
        </a:prstGeom>
        <a:ln>
          <a:noFill/>
        </a:ln>
      </xdr:spPr>
    </xdr:pic>
    <xdr:clientData/>
  </xdr:twoCellAnchor>
  <xdr:twoCellAnchor editAs="absolute">
    <xdr:from>
      <xdr:col>11</xdr:col>
      <xdr:colOff>152280</xdr:colOff>
      <xdr:row>3</xdr:row>
      <xdr:rowOff>0</xdr:rowOff>
    </xdr:from>
    <xdr:to>
      <xdr:col>14</xdr:col>
      <xdr:colOff>1076400</xdr:colOff>
      <xdr:row>6</xdr:row>
      <xdr:rowOff>219240</xdr:rowOff>
    </xdr:to>
    <xdr:pic>
      <xdr:nvPicPr>
        <xdr:cNvPr id="23" name="PIC1" descr=""/>
        <xdr:cNvPicPr/>
      </xdr:nvPicPr>
      <xdr:blipFill>
        <a:blip r:embed="rId3"/>
        <a:stretch/>
      </xdr:blipFill>
      <xdr:spPr>
        <a:xfrm>
          <a:off x="152280" y="488160"/>
          <a:ext cx="5700960" cy="1169640"/>
        </a:xfrm>
        <a:prstGeom prst="rect">
          <a:avLst/>
        </a:prstGeom>
        <a:ln>
          <a:noFill/>
        </a:ln>
      </xdr:spPr>
    </xdr:pic>
    <xdr:clientData/>
  </xdr:twoCellAnchor>
  <xdr:twoCellAnchor editAs="absolute">
    <xdr:from>
      <xdr:col>15</xdr:col>
      <xdr:colOff>971640</xdr:colOff>
      <xdr:row>22</xdr:row>
      <xdr:rowOff>0</xdr:rowOff>
    </xdr:from>
    <xdr:to>
      <xdr:col>22</xdr:col>
      <xdr:colOff>28440</xdr:colOff>
      <xdr:row>26</xdr:row>
      <xdr:rowOff>142920</xdr:rowOff>
    </xdr:to>
    <xdr:pic>
      <xdr:nvPicPr>
        <xdr:cNvPr id="24" name="Picture 483" descr=""/>
        <xdr:cNvPicPr/>
      </xdr:nvPicPr>
      <xdr:blipFill>
        <a:blip r:embed="rId4"/>
        <a:stretch/>
      </xdr:blipFill>
      <xdr:spPr>
        <a:xfrm>
          <a:off x="6917760" y="4160880"/>
          <a:ext cx="6817680" cy="790560"/>
        </a:xfrm>
        <a:prstGeom prst="rect">
          <a:avLst/>
        </a:prstGeom>
        <a:ln>
          <a:noFill/>
        </a:ln>
      </xdr:spPr>
    </xdr:pic>
    <xdr:clientData/>
  </xdr:twoCellAnchor>
  <xdr:twoCellAnchor editAs="absolute">
    <xdr:from>
      <xdr:col>21</xdr:col>
      <xdr:colOff>914400</xdr:colOff>
      <xdr:row>0</xdr:row>
      <xdr:rowOff>66600</xdr:rowOff>
    </xdr:from>
    <xdr:to>
      <xdr:col>22</xdr:col>
      <xdr:colOff>1000080</xdr:colOff>
      <xdr:row>2</xdr:row>
      <xdr:rowOff>123840</xdr:rowOff>
    </xdr:to>
    <xdr:pic>
      <xdr:nvPicPr>
        <xdr:cNvPr id="25" name="SigiloPic" descr=""/>
        <xdr:cNvPicPr/>
      </xdr:nvPicPr>
      <xdr:blipFill>
        <a:blip r:embed="rId5"/>
        <a:stretch/>
      </xdr:blipFill>
      <xdr:spPr>
        <a:xfrm>
          <a:off x="13512600" y="66600"/>
          <a:ext cx="1194480" cy="383400"/>
        </a:xfrm>
        <a:prstGeom prst="rect">
          <a:avLst/>
        </a:prstGeom>
        <a:ln>
          <a:noFill/>
        </a:ln>
      </xdr:spPr>
    </xdr:pic>
    <xdr:clientData/>
  </xdr:twoCellAnchor>
  <xdr:twoCellAnchor editAs="absolute">
    <xdr:from>
      <xdr:col>23</xdr:col>
      <xdr:colOff>0</xdr:colOff>
      <xdr:row>22</xdr:row>
      <xdr:rowOff>0</xdr:rowOff>
    </xdr:from>
    <xdr:to>
      <xdr:col>23</xdr:col>
      <xdr:colOff>-26611920</xdr:colOff>
      <xdr:row>26</xdr:row>
      <xdr:rowOff>142920</xdr:rowOff>
    </xdr:to>
    <xdr:pic>
      <xdr:nvPicPr>
        <xdr:cNvPr id="26" name="Picture 1750" descr=""/>
        <xdr:cNvPicPr/>
      </xdr:nvPicPr>
      <xdr:blipFill>
        <a:blip r:embed="rId6"/>
        <a:stretch/>
      </xdr:blipFill>
      <xdr:spPr>
        <a:xfrm>
          <a:off x="14815800" y="4160880"/>
          <a:ext cx="360000" cy="790560"/>
        </a:xfrm>
        <a:prstGeom prst="rect">
          <a:avLst/>
        </a:prstGeom>
        <a:ln>
          <a:noFill/>
        </a:ln>
      </xdr:spPr>
    </xdr:pic>
    <xdr:clientData/>
  </xdr:twoCellAnchor>
  <xdr:twoCellAnchor editAs="absolute">
    <xdr:from>
      <xdr:col>23</xdr:col>
      <xdr:colOff>0</xdr:colOff>
      <xdr:row>0</xdr:row>
      <xdr:rowOff>66600</xdr:rowOff>
    </xdr:from>
    <xdr:to>
      <xdr:col>23</xdr:col>
      <xdr:colOff>-26611920</xdr:colOff>
      <xdr:row>2</xdr:row>
      <xdr:rowOff>123840</xdr:rowOff>
    </xdr:to>
    <xdr:pic>
      <xdr:nvPicPr>
        <xdr:cNvPr id="27" name="Picture 1751" descr=""/>
        <xdr:cNvPicPr/>
      </xdr:nvPicPr>
      <xdr:blipFill>
        <a:blip r:embed="rId7"/>
        <a:stretch/>
      </xdr:blipFill>
      <xdr:spPr>
        <a:xfrm>
          <a:off x="14815800" y="66600"/>
          <a:ext cx="360000" cy="383400"/>
        </a:xfrm>
        <a:prstGeom prst="rect">
          <a:avLst/>
        </a:prstGeom>
        <a:ln>
          <a:noFill/>
        </a:ln>
      </xdr:spPr>
    </xdr:pic>
    <xdr:clientData/>
  </xdr:twoCellAnchor>
  <xdr:twoCellAnchor editAs="absolute">
    <xdr:from>
      <xdr:col>23</xdr:col>
      <xdr:colOff>0</xdr:colOff>
      <xdr:row>22</xdr:row>
      <xdr:rowOff>0</xdr:rowOff>
    </xdr:from>
    <xdr:to>
      <xdr:col>23</xdr:col>
      <xdr:colOff>-26611920</xdr:colOff>
      <xdr:row>26</xdr:row>
      <xdr:rowOff>142920</xdr:rowOff>
    </xdr:to>
    <xdr:pic>
      <xdr:nvPicPr>
        <xdr:cNvPr id="28" name="Picture 1752" descr=""/>
        <xdr:cNvPicPr/>
      </xdr:nvPicPr>
      <xdr:blipFill>
        <a:blip r:embed="rId8"/>
        <a:stretch/>
      </xdr:blipFill>
      <xdr:spPr>
        <a:xfrm>
          <a:off x="14815800" y="4160880"/>
          <a:ext cx="360000" cy="790560"/>
        </a:xfrm>
        <a:prstGeom prst="rect">
          <a:avLst/>
        </a:prstGeom>
        <a:ln>
          <a:noFill/>
        </a:ln>
      </xdr:spPr>
    </xdr:pic>
    <xdr:clientData/>
  </xdr:twoCellAnchor>
  <xdr:twoCellAnchor editAs="absolute">
    <xdr:from>
      <xdr:col>23</xdr:col>
      <xdr:colOff>0</xdr:colOff>
      <xdr:row>0</xdr:row>
      <xdr:rowOff>66600</xdr:rowOff>
    </xdr:from>
    <xdr:to>
      <xdr:col>23</xdr:col>
      <xdr:colOff>-26611920</xdr:colOff>
      <xdr:row>2</xdr:row>
      <xdr:rowOff>123840</xdr:rowOff>
    </xdr:to>
    <xdr:pic>
      <xdr:nvPicPr>
        <xdr:cNvPr id="29" name="Picture 1753" descr=""/>
        <xdr:cNvPicPr/>
      </xdr:nvPicPr>
      <xdr:blipFill>
        <a:blip r:embed="rId9"/>
        <a:stretch/>
      </xdr:blipFill>
      <xdr:spPr>
        <a:xfrm>
          <a:off x="14815800" y="66600"/>
          <a:ext cx="360000" cy="383400"/>
        </a:xfrm>
        <a:prstGeom prst="rect">
          <a:avLst/>
        </a:prstGeom>
        <a:ln>
          <a:noFill/>
        </a:ln>
      </xdr:spPr>
    </xdr:pic>
    <xdr:clientData/>
  </xdr:twoCellAnchor>
  <xdr:twoCellAnchor editAs="absolute">
    <xdr:from>
      <xdr:col>23</xdr:col>
      <xdr:colOff>0</xdr:colOff>
      <xdr:row>22</xdr:row>
      <xdr:rowOff>0</xdr:rowOff>
    </xdr:from>
    <xdr:to>
      <xdr:col>23</xdr:col>
      <xdr:colOff>-26611920</xdr:colOff>
      <xdr:row>26</xdr:row>
      <xdr:rowOff>142920</xdr:rowOff>
    </xdr:to>
    <xdr:pic>
      <xdr:nvPicPr>
        <xdr:cNvPr id="30" name="Picture 1754" descr=""/>
        <xdr:cNvPicPr/>
      </xdr:nvPicPr>
      <xdr:blipFill>
        <a:blip r:embed="rId10"/>
        <a:stretch/>
      </xdr:blipFill>
      <xdr:spPr>
        <a:xfrm>
          <a:off x="14815800" y="4160880"/>
          <a:ext cx="360000" cy="790560"/>
        </a:xfrm>
        <a:prstGeom prst="rect">
          <a:avLst/>
        </a:prstGeom>
        <a:ln>
          <a:noFill/>
        </a:ln>
      </xdr:spPr>
    </xdr:pic>
    <xdr:clientData/>
  </xdr:twoCellAnchor>
  <xdr:twoCellAnchor editAs="absolute">
    <xdr:from>
      <xdr:col>23</xdr:col>
      <xdr:colOff>0</xdr:colOff>
      <xdr:row>0</xdr:row>
      <xdr:rowOff>66600</xdr:rowOff>
    </xdr:from>
    <xdr:to>
      <xdr:col>23</xdr:col>
      <xdr:colOff>-26611920</xdr:colOff>
      <xdr:row>2</xdr:row>
      <xdr:rowOff>123840</xdr:rowOff>
    </xdr:to>
    <xdr:pic>
      <xdr:nvPicPr>
        <xdr:cNvPr id="31" name="Picture 1755" descr=""/>
        <xdr:cNvPicPr/>
      </xdr:nvPicPr>
      <xdr:blipFill>
        <a:blip r:embed="rId11"/>
        <a:stretch/>
      </xdr:blipFill>
      <xdr:spPr>
        <a:xfrm>
          <a:off x="14815800" y="66600"/>
          <a:ext cx="360000" cy="383400"/>
        </a:xfrm>
        <a:prstGeom prst="rect">
          <a:avLst/>
        </a:prstGeom>
        <a:ln>
          <a:noFill/>
        </a:ln>
      </xdr:spPr>
    </xdr:pic>
    <xdr:clientData/>
  </xdr:twoCellAnchor>
  <xdr:twoCellAnchor editAs="absolute">
    <xdr:from>
      <xdr:col>23</xdr:col>
      <xdr:colOff>0</xdr:colOff>
      <xdr:row>22</xdr:row>
      <xdr:rowOff>0</xdr:rowOff>
    </xdr:from>
    <xdr:to>
      <xdr:col>23</xdr:col>
      <xdr:colOff>-26611920</xdr:colOff>
      <xdr:row>26</xdr:row>
      <xdr:rowOff>142920</xdr:rowOff>
    </xdr:to>
    <xdr:pic>
      <xdr:nvPicPr>
        <xdr:cNvPr id="32" name="Picture 1756" descr=""/>
        <xdr:cNvPicPr/>
      </xdr:nvPicPr>
      <xdr:blipFill>
        <a:blip r:embed="rId12"/>
        <a:stretch/>
      </xdr:blipFill>
      <xdr:spPr>
        <a:xfrm>
          <a:off x="14815800" y="4160880"/>
          <a:ext cx="360000" cy="790560"/>
        </a:xfrm>
        <a:prstGeom prst="rect">
          <a:avLst/>
        </a:prstGeom>
        <a:ln>
          <a:noFill/>
        </a:ln>
      </xdr:spPr>
    </xdr:pic>
    <xdr:clientData/>
  </xdr:twoCellAnchor>
  <xdr:twoCellAnchor editAs="absolute">
    <xdr:from>
      <xdr:col>23</xdr:col>
      <xdr:colOff>0</xdr:colOff>
      <xdr:row>0</xdr:row>
      <xdr:rowOff>66600</xdr:rowOff>
    </xdr:from>
    <xdr:to>
      <xdr:col>23</xdr:col>
      <xdr:colOff>-26611920</xdr:colOff>
      <xdr:row>2</xdr:row>
      <xdr:rowOff>123840</xdr:rowOff>
    </xdr:to>
    <xdr:pic>
      <xdr:nvPicPr>
        <xdr:cNvPr id="33" name="Picture 1757" descr=""/>
        <xdr:cNvPicPr/>
      </xdr:nvPicPr>
      <xdr:blipFill>
        <a:blip r:embed="rId13"/>
        <a:stretch/>
      </xdr:blipFill>
      <xdr:spPr>
        <a:xfrm>
          <a:off x="14815800" y="66600"/>
          <a:ext cx="360000" cy="383400"/>
        </a:xfrm>
        <a:prstGeom prst="rect">
          <a:avLst/>
        </a:prstGeom>
        <a:ln>
          <a:noFill/>
        </a:ln>
      </xdr:spPr>
    </xdr:pic>
    <xdr:clientData/>
  </xdr:twoCellAnchor>
  <xdr:twoCellAnchor editAs="absolute">
    <xdr:from>
      <xdr:col>23</xdr:col>
      <xdr:colOff>0</xdr:colOff>
      <xdr:row>22</xdr:row>
      <xdr:rowOff>0</xdr:rowOff>
    </xdr:from>
    <xdr:to>
      <xdr:col>23</xdr:col>
      <xdr:colOff>-26611920</xdr:colOff>
      <xdr:row>26</xdr:row>
      <xdr:rowOff>142920</xdr:rowOff>
    </xdr:to>
    <xdr:pic>
      <xdr:nvPicPr>
        <xdr:cNvPr id="34" name="Picture 1758" descr=""/>
        <xdr:cNvPicPr/>
      </xdr:nvPicPr>
      <xdr:blipFill>
        <a:blip r:embed="rId14"/>
        <a:stretch/>
      </xdr:blipFill>
      <xdr:spPr>
        <a:xfrm>
          <a:off x="14815800" y="4160880"/>
          <a:ext cx="360000" cy="790560"/>
        </a:xfrm>
        <a:prstGeom prst="rect">
          <a:avLst/>
        </a:prstGeom>
        <a:ln>
          <a:noFill/>
        </a:ln>
      </xdr:spPr>
    </xdr:pic>
    <xdr:clientData/>
  </xdr:twoCellAnchor>
  <xdr:twoCellAnchor editAs="absolute">
    <xdr:from>
      <xdr:col>23</xdr:col>
      <xdr:colOff>0</xdr:colOff>
      <xdr:row>0</xdr:row>
      <xdr:rowOff>66600</xdr:rowOff>
    </xdr:from>
    <xdr:to>
      <xdr:col>23</xdr:col>
      <xdr:colOff>-26611920</xdr:colOff>
      <xdr:row>2</xdr:row>
      <xdr:rowOff>123840</xdr:rowOff>
    </xdr:to>
    <xdr:pic>
      <xdr:nvPicPr>
        <xdr:cNvPr id="35" name="Picture 1759" descr=""/>
        <xdr:cNvPicPr/>
      </xdr:nvPicPr>
      <xdr:blipFill>
        <a:blip r:embed="rId15"/>
        <a:stretch/>
      </xdr:blipFill>
      <xdr:spPr>
        <a:xfrm>
          <a:off x="14815800" y="66600"/>
          <a:ext cx="360000" cy="38340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_rels/sheet5.xml.rels><?xml version="1.0" encoding="UTF-8"?>
<Relationships xmlns="http://schemas.openxmlformats.org/package/2006/relationships"><Relationship Id="rId1" Type="http://schemas.openxmlformats.org/officeDocument/2006/relationships/drawing" Target="../drawings/drawing5.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Y250"/>
  <sheetViews>
    <sheetView showFormulas="false" showGridLines="false" showRowColHeaders="true" showZeros="true" rightToLeft="false" tabSelected="false" showOutlineSymbols="true" defaultGridColor="true" view="normal" topLeftCell="A34" colorId="64" zoomScale="100" zoomScaleNormal="100" zoomScalePageLayoutView="100" workbookViewId="0">
      <selection pane="topLeft" activeCell="H55" activeCellId="0" sqref="H55"/>
    </sheetView>
  </sheetViews>
  <sheetFormatPr defaultRowHeight="12.75" zeroHeight="false" outlineLevelRow="0" outlineLevelCol="0"/>
  <cols>
    <col collapsed="false" customWidth="true" hidden="false" outlineLevel="0" max="2" min="1" style="1" width="8.71"/>
    <col collapsed="false" customWidth="true" hidden="false" outlineLevel="0" max="5" min="3" style="2" width="8.71"/>
    <col collapsed="false" customWidth="true" hidden="false" outlineLevel="0" max="8" min="6" style="3" width="8.71"/>
    <col collapsed="false" customWidth="true" hidden="false" outlineLevel="0" max="24" min="9" style="2" width="8.71"/>
    <col collapsed="false" customWidth="true" hidden="false" outlineLevel="0" max="1025" min="25" style="2" width="9.14"/>
  </cols>
  <sheetData>
    <row r="1" customFormat="false" ht="12.75" hidden="false" customHeight="true" outlineLevel="0" collapsed="false">
      <c r="A1" s="4" t="n">
        <v>27476</v>
      </c>
      <c r="B1" s="5" t="s">
        <v>0</v>
      </c>
      <c r="C1" s="5"/>
      <c r="D1" s="5"/>
      <c r="E1" s="5"/>
      <c r="F1" s="5"/>
      <c r="G1" s="5"/>
      <c r="H1" s="5"/>
      <c r="I1" s="5"/>
      <c r="J1" s="5"/>
      <c r="K1" s="5"/>
      <c r="L1" s="5"/>
      <c r="M1" s="5"/>
      <c r="N1" s="5"/>
      <c r="O1" s="5"/>
      <c r="P1" s="5"/>
      <c r="Q1" s="5"/>
      <c r="R1" s="5"/>
      <c r="S1" s="5"/>
      <c r="T1" s="5"/>
      <c r="U1" s="5"/>
      <c r="V1" s="5"/>
      <c r="W1" s="5"/>
      <c r="X1" s="5"/>
    </row>
    <row r="2" customFormat="false" ht="13.5" hidden="false" customHeight="true" outlineLevel="0" collapsed="false">
      <c r="A2" s="6" t="s">
        <v>1</v>
      </c>
      <c r="B2" s="5"/>
      <c r="C2" s="5"/>
      <c r="D2" s="5"/>
      <c r="E2" s="5"/>
      <c r="F2" s="5"/>
      <c r="G2" s="5"/>
      <c r="H2" s="5"/>
      <c r="I2" s="5"/>
      <c r="J2" s="5"/>
      <c r="K2" s="5"/>
      <c r="L2" s="5"/>
      <c r="M2" s="5"/>
      <c r="N2" s="5"/>
      <c r="O2" s="5"/>
      <c r="P2" s="5"/>
      <c r="Q2" s="5"/>
      <c r="R2" s="5"/>
      <c r="S2" s="5"/>
      <c r="T2" s="5"/>
      <c r="U2" s="5"/>
      <c r="V2" s="5"/>
      <c r="W2" s="5"/>
      <c r="X2" s="5"/>
    </row>
    <row r="3" s="2" customFormat="true" ht="13.5" hidden="false" customHeight="true" outlineLevel="0" collapsed="false"/>
    <row r="4" s="8" customFormat="true" ht="12.75" hidden="false" customHeight="true" outlineLevel="0" collapsed="false">
      <c r="A4" s="7" t="s">
        <v>2</v>
      </c>
      <c r="B4" s="7"/>
      <c r="C4" s="7"/>
      <c r="D4" s="7"/>
      <c r="E4" s="7"/>
      <c r="F4" s="7"/>
      <c r="G4" s="7"/>
      <c r="H4" s="7"/>
      <c r="I4" s="7"/>
      <c r="J4" s="7"/>
      <c r="K4" s="7"/>
      <c r="L4" s="7"/>
      <c r="M4" s="7"/>
      <c r="N4" s="7"/>
      <c r="O4" s="7"/>
      <c r="P4" s="7"/>
      <c r="Q4" s="7"/>
      <c r="R4" s="7"/>
      <c r="S4" s="7"/>
      <c r="T4" s="7"/>
      <c r="U4" s="7"/>
      <c r="V4" s="7"/>
      <c r="W4" s="7"/>
      <c r="X4" s="7"/>
    </row>
    <row r="5" s="8" customFormat="true" ht="12.75" hidden="false" customHeight="false" outlineLevel="0" collapsed="false">
      <c r="A5" s="9"/>
      <c r="B5" s="9"/>
      <c r="F5" s="10"/>
      <c r="G5" s="10"/>
      <c r="H5" s="10"/>
    </row>
    <row r="6" s="9" customFormat="true" ht="24.95" hidden="false" customHeight="true" outlineLevel="0" collapsed="false">
      <c r="A6" s="11" t="s">
        <v>3</v>
      </c>
      <c r="B6" s="11"/>
      <c r="C6" s="11"/>
      <c r="D6" s="11"/>
      <c r="E6" s="11"/>
      <c r="F6" s="11"/>
      <c r="G6" s="11"/>
      <c r="H6" s="11"/>
      <c r="I6" s="11"/>
      <c r="J6" s="11"/>
      <c r="K6" s="11"/>
      <c r="L6" s="11"/>
      <c r="M6" s="11"/>
      <c r="N6" s="11"/>
      <c r="O6" s="11"/>
      <c r="P6" s="11"/>
      <c r="Q6" s="11"/>
      <c r="R6" s="11"/>
      <c r="S6" s="11"/>
      <c r="T6" s="11"/>
      <c r="U6" s="11"/>
      <c r="V6" s="11"/>
      <c r="W6" s="11"/>
      <c r="X6" s="11"/>
    </row>
    <row r="7" s="8" customFormat="true" ht="12.75" hidden="false" customHeight="true" outlineLevel="0" collapsed="false">
      <c r="A7" s="9"/>
      <c r="B7" s="9"/>
      <c r="F7" s="10"/>
      <c r="G7" s="10"/>
      <c r="H7" s="10"/>
    </row>
    <row r="8" s="8" customFormat="true" ht="12.75" hidden="false" customHeight="true" outlineLevel="0" collapsed="false">
      <c r="A8" s="12" t="s">
        <v>4</v>
      </c>
      <c r="B8" s="12"/>
      <c r="C8" s="12"/>
      <c r="D8" s="12"/>
      <c r="E8" s="12"/>
      <c r="F8" s="12"/>
      <c r="G8" s="12"/>
      <c r="H8" s="12"/>
      <c r="I8" s="12"/>
      <c r="J8" s="12"/>
      <c r="K8" s="12"/>
      <c r="L8" s="12"/>
      <c r="M8" s="12"/>
      <c r="N8" s="12"/>
      <c r="O8" s="12"/>
      <c r="P8" s="12"/>
      <c r="Q8" s="12"/>
      <c r="R8" s="12"/>
      <c r="S8" s="12"/>
      <c r="T8" s="12"/>
      <c r="U8" s="12"/>
      <c r="V8" s="12"/>
      <c r="W8" s="12"/>
      <c r="X8" s="12"/>
      <c r="Y8" s="13"/>
    </row>
    <row r="9" s="8" customFormat="true" ht="6" hidden="false" customHeight="true" outlineLevel="0" collapsed="false">
      <c r="A9" s="12"/>
      <c r="B9" s="12"/>
      <c r="C9" s="12"/>
      <c r="D9" s="12"/>
      <c r="E9" s="12"/>
      <c r="F9" s="12"/>
      <c r="G9" s="12"/>
      <c r="H9" s="12"/>
      <c r="I9" s="12"/>
      <c r="J9" s="12"/>
      <c r="K9" s="12"/>
      <c r="L9" s="12"/>
      <c r="M9" s="12"/>
      <c r="N9" s="12"/>
      <c r="O9" s="12"/>
      <c r="P9" s="12"/>
      <c r="Q9" s="12"/>
      <c r="R9" s="12"/>
      <c r="S9" s="12"/>
      <c r="T9" s="12"/>
      <c r="U9" s="12"/>
      <c r="V9" s="12"/>
      <c r="W9" s="12"/>
      <c r="X9" s="12"/>
      <c r="Y9" s="13"/>
    </row>
    <row r="10" s="8" customFormat="true" ht="12.75" hidden="false" customHeight="true" outlineLevel="0" collapsed="false">
      <c r="A10" s="14" t="s">
        <v>5</v>
      </c>
      <c r="B10" s="14"/>
      <c r="C10" s="14"/>
      <c r="D10" s="14"/>
      <c r="E10" s="14"/>
      <c r="F10" s="14"/>
      <c r="G10" s="14"/>
      <c r="H10" s="14"/>
      <c r="I10" s="14"/>
      <c r="J10" s="14"/>
      <c r="K10" s="14"/>
      <c r="L10" s="14"/>
      <c r="M10" s="14"/>
      <c r="N10" s="14"/>
      <c r="O10" s="14"/>
      <c r="P10" s="14"/>
      <c r="Q10" s="14"/>
      <c r="R10" s="14"/>
      <c r="S10" s="14"/>
      <c r="T10" s="14"/>
      <c r="U10" s="14"/>
      <c r="V10" s="14"/>
      <c r="W10" s="14"/>
      <c r="X10" s="14"/>
    </row>
    <row r="11" s="8" customFormat="true" ht="6" hidden="false" customHeight="true" outlineLevel="0" collapsed="false">
      <c r="A11" s="14"/>
      <c r="B11" s="14"/>
      <c r="C11" s="14"/>
      <c r="D11" s="14"/>
      <c r="E11" s="14"/>
      <c r="F11" s="14"/>
      <c r="G11" s="14"/>
      <c r="H11" s="14"/>
      <c r="I11" s="14"/>
      <c r="J11" s="14"/>
      <c r="K11" s="14"/>
      <c r="L11" s="14"/>
      <c r="M11" s="14"/>
      <c r="N11" s="14"/>
      <c r="O11" s="14"/>
      <c r="P11" s="14"/>
      <c r="Q11" s="14"/>
      <c r="R11" s="14"/>
      <c r="S11" s="14"/>
      <c r="T11" s="14"/>
      <c r="U11" s="14"/>
      <c r="V11" s="14"/>
      <c r="W11" s="14"/>
      <c r="X11" s="14"/>
    </row>
    <row r="12" s="8" customFormat="true" ht="24.95" hidden="false" customHeight="true" outlineLevel="0" collapsed="false">
      <c r="A12" s="14" t="s">
        <v>6</v>
      </c>
      <c r="B12" s="14"/>
      <c r="C12" s="14"/>
      <c r="D12" s="14"/>
      <c r="E12" s="14"/>
      <c r="F12" s="14"/>
      <c r="G12" s="14"/>
      <c r="H12" s="14"/>
      <c r="I12" s="14"/>
      <c r="J12" s="14"/>
      <c r="K12" s="14"/>
      <c r="L12" s="14"/>
      <c r="M12" s="14"/>
      <c r="N12" s="14"/>
      <c r="O12" s="14"/>
      <c r="P12" s="14"/>
      <c r="Q12" s="14"/>
      <c r="R12" s="14"/>
      <c r="S12" s="14"/>
      <c r="T12" s="14"/>
      <c r="U12" s="14"/>
      <c r="V12" s="14"/>
      <c r="W12" s="14"/>
      <c r="X12" s="14"/>
    </row>
    <row r="13" s="8" customFormat="true" ht="12.75" hidden="false" customHeight="false" outlineLevel="0" collapsed="false">
      <c r="A13" s="9"/>
      <c r="B13" s="9"/>
      <c r="F13" s="10"/>
      <c r="G13" s="10"/>
      <c r="H13" s="10"/>
    </row>
    <row r="14" s="8" customFormat="true" ht="12.75" hidden="false" customHeight="true" outlineLevel="0" collapsed="false">
      <c r="A14" s="15" t="s">
        <v>7</v>
      </c>
      <c r="B14" s="15"/>
      <c r="C14" s="15"/>
      <c r="D14" s="15"/>
      <c r="E14" s="15"/>
      <c r="F14" s="15"/>
      <c r="G14" s="15"/>
      <c r="H14" s="15"/>
      <c r="I14" s="15"/>
      <c r="J14" s="15"/>
      <c r="K14" s="15"/>
      <c r="L14" s="15"/>
      <c r="M14" s="15"/>
      <c r="N14" s="15"/>
      <c r="O14" s="15"/>
      <c r="P14" s="15"/>
      <c r="Q14" s="15"/>
      <c r="R14" s="15"/>
      <c r="S14" s="15"/>
      <c r="T14" s="15"/>
      <c r="U14" s="15"/>
      <c r="V14" s="15"/>
      <c r="W14" s="15"/>
      <c r="X14" s="15"/>
    </row>
    <row r="15" s="8" customFormat="true" ht="12.75" hidden="false" customHeight="false" outlineLevel="0" collapsed="false">
      <c r="A15" s="9"/>
      <c r="B15" s="9"/>
      <c r="F15" s="10"/>
      <c r="G15" s="10"/>
      <c r="H15" s="10"/>
    </row>
    <row r="16" s="8" customFormat="true" ht="12.75" hidden="false" customHeight="true" outlineLevel="0" collapsed="false">
      <c r="A16" s="16" t="s">
        <v>8</v>
      </c>
      <c r="B16" s="16"/>
      <c r="C16" s="16"/>
      <c r="D16" s="16"/>
      <c r="E16" s="16"/>
      <c r="F16" s="16"/>
      <c r="G16" s="16"/>
      <c r="H16" s="16"/>
      <c r="I16" s="16"/>
      <c r="J16" s="16"/>
      <c r="K16" s="16"/>
      <c r="L16" s="16"/>
      <c r="M16" s="16"/>
      <c r="N16" s="16"/>
      <c r="O16" s="16"/>
      <c r="P16" s="16"/>
      <c r="Q16" s="16"/>
      <c r="R16" s="16"/>
      <c r="S16" s="16"/>
      <c r="T16" s="16"/>
      <c r="U16" s="16"/>
      <c r="V16" s="16"/>
      <c r="W16" s="16"/>
      <c r="X16" s="16"/>
    </row>
    <row r="17" s="8" customFormat="true" ht="6" hidden="false" customHeight="true" outlineLevel="0" collapsed="false">
      <c r="A17" s="12"/>
      <c r="B17" s="12"/>
      <c r="C17" s="12"/>
      <c r="D17" s="12"/>
      <c r="E17" s="12"/>
      <c r="F17" s="12"/>
      <c r="G17" s="12"/>
      <c r="H17" s="12"/>
      <c r="I17" s="12"/>
      <c r="J17" s="12"/>
      <c r="K17" s="12"/>
      <c r="L17" s="12"/>
      <c r="M17" s="12"/>
      <c r="N17" s="12"/>
      <c r="O17" s="12"/>
      <c r="P17" s="12"/>
      <c r="Q17" s="12"/>
      <c r="R17" s="12"/>
      <c r="S17" s="12"/>
      <c r="T17" s="12"/>
      <c r="U17" s="12"/>
      <c r="V17" s="12"/>
      <c r="W17" s="12"/>
      <c r="X17" s="12"/>
    </row>
    <row r="18" s="8" customFormat="true" ht="12.75" hidden="false" customHeight="true" outlineLevel="0" collapsed="false">
      <c r="A18" s="17" t="s">
        <v>9</v>
      </c>
      <c r="B18" s="17"/>
      <c r="C18" s="17"/>
      <c r="D18" s="17"/>
      <c r="E18" s="17"/>
      <c r="F18" s="17"/>
      <c r="G18" s="17"/>
      <c r="H18" s="17"/>
      <c r="I18" s="17"/>
      <c r="J18" s="17"/>
      <c r="K18" s="17"/>
      <c r="L18" s="17"/>
      <c r="M18" s="17"/>
      <c r="N18" s="17"/>
      <c r="O18" s="17"/>
      <c r="P18" s="17"/>
      <c r="Q18" s="17"/>
      <c r="R18" s="17"/>
      <c r="S18" s="17"/>
      <c r="T18" s="17"/>
      <c r="U18" s="17"/>
      <c r="V18" s="17"/>
      <c r="W18" s="17"/>
      <c r="X18" s="17"/>
    </row>
    <row r="19" s="8" customFormat="true" ht="12.75" hidden="false" customHeight="false" outlineLevel="0" collapsed="false">
      <c r="A19" s="9"/>
      <c r="B19" s="9"/>
      <c r="F19" s="10"/>
      <c r="G19" s="10"/>
      <c r="H19" s="10"/>
    </row>
    <row r="20" s="8" customFormat="true" ht="12.75" hidden="false" customHeight="false" outlineLevel="0" collapsed="false">
      <c r="A20" s="9"/>
      <c r="B20" s="9"/>
      <c r="F20" s="10"/>
      <c r="G20" s="10"/>
      <c r="H20" s="10"/>
    </row>
    <row r="21" s="8" customFormat="true" ht="12.75" hidden="false" customHeight="false" outlineLevel="0" collapsed="false">
      <c r="B21" s="9"/>
      <c r="F21" s="10"/>
      <c r="G21" s="10"/>
      <c r="H21" s="10"/>
    </row>
    <row r="22" s="8" customFormat="true" ht="12.75" hidden="false" customHeight="true" outlineLevel="0" collapsed="false">
      <c r="A22" s="16" t="s">
        <v>10</v>
      </c>
      <c r="B22" s="16"/>
      <c r="C22" s="16"/>
      <c r="D22" s="16"/>
      <c r="E22" s="16"/>
      <c r="F22" s="16"/>
      <c r="G22" s="16"/>
      <c r="H22" s="16"/>
      <c r="I22" s="16"/>
      <c r="J22" s="18"/>
      <c r="K22" s="18"/>
      <c r="L22" s="18"/>
      <c r="M22" s="18"/>
      <c r="N22" s="18"/>
      <c r="O22" s="18"/>
      <c r="P22" s="18"/>
      <c r="Q22" s="18"/>
      <c r="R22" s="18"/>
      <c r="S22" s="18"/>
      <c r="T22" s="18"/>
      <c r="U22" s="18"/>
      <c r="V22" s="18"/>
      <c r="W22" s="18"/>
      <c r="X22" s="18"/>
      <c r="Y22" s="18"/>
    </row>
    <row r="23" s="8" customFormat="true" ht="6" hidden="false" customHeight="true" outlineLevel="0" collapsed="false">
      <c r="A23" s="12"/>
    </row>
    <row r="24" s="8" customFormat="true" ht="12.75" hidden="false" customHeight="true" outlineLevel="0" collapsed="false">
      <c r="A24" s="17" t="s">
        <v>11</v>
      </c>
      <c r="B24" s="17"/>
      <c r="C24" s="17"/>
      <c r="D24" s="17"/>
      <c r="E24" s="17"/>
      <c r="F24" s="17"/>
      <c r="G24" s="17"/>
      <c r="H24" s="17"/>
      <c r="I24" s="17"/>
      <c r="J24" s="17"/>
      <c r="K24" s="17"/>
      <c r="L24" s="17"/>
      <c r="M24" s="17"/>
      <c r="N24" s="17"/>
      <c r="O24" s="17"/>
      <c r="P24" s="17"/>
      <c r="Q24" s="17"/>
      <c r="R24" s="17"/>
      <c r="S24" s="17"/>
      <c r="T24" s="17"/>
      <c r="U24" s="17"/>
      <c r="V24" s="17"/>
      <c r="W24" s="17"/>
      <c r="X24" s="17"/>
    </row>
    <row r="25" s="8" customFormat="true" ht="6" hidden="false" customHeight="true" outlineLevel="0" collapsed="false">
      <c r="A25" s="17"/>
      <c r="B25" s="17"/>
      <c r="C25" s="19"/>
      <c r="D25" s="19"/>
      <c r="E25" s="19"/>
      <c r="F25" s="19"/>
      <c r="G25" s="19"/>
      <c r="H25" s="19"/>
      <c r="I25" s="19"/>
      <c r="J25" s="19"/>
      <c r="K25" s="19"/>
      <c r="L25" s="19"/>
      <c r="M25" s="19"/>
      <c r="N25" s="19"/>
      <c r="O25" s="19"/>
      <c r="P25" s="19"/>
      <c r="Q25" s="19"/>
      <c r="R25" s="19"/>
      <c r="S25" s="19"/>
      <c r="T25" s="19"/>
      <c r="U25" s="19"/>
      <c r="V25" s="19"/>
      <c r="W25" s="19"/>
      <c r="X25" s="19"/>
    </row>
    <row r="26" s="8" customFormat="true" ht="12.75" hidden="false" customHeight="true" outlineLevel="0" collapsed="false">
      <c r="A26" s="20" t="s">
        <v>12</v>
      </c>
      <c r="B26" s="20"/>
      <c r="C26" s="20"/>
      <c r="D26" s="20"/>
      <c r="E26" s="20"/>
      <c r="F26" s="20"/>
      <c r="G26" s="20"/>
      <c r="H26" s="20"/>
      <c r="I26" s="20"/>
      <c r="J26" s="20"/>
      <c r="K26" s="20"/>
      <c r="L26" s="20"/>
      <c r="M26" s="20"/>
      <c r="N26" s="20"/>
      <c r="O26" s="20"/>
      <c r="P26" s="20"/>
      <c r="Q26" s="20"/>
      <c r="R26" s="20"/>
      <c r="S26" s="20"/>
      <c r="T26" s="20"/>
      <c r="U26" s="20"/>
      <c r="V26" s="20"/>
      <c r="W26" s="20"/>
      <c r="X26" s="20"/>
    </row>
    <row r="27" s="8" customFormat="true" ht="6" hidden="false" customHeight="true" outlineLevel="0" collapsed="false">
      <c r="A27" s="21"/>
      <c r="B27" s="21"/>
      <c r="F27" s="10"/>
      <c r="G27" s="10"/>
      <c r="H27" s="10"/>
    </row>
    <row r="28" customFormat="false" ht="12.75" hidden="false" customHeight="true" outlineLevel="0" collapsed="false">
      <c r="A28" s="22" t="s">
        <v>13</v>
      </c>
      <c r="B28" s="22"/>
      <c r="C28" s="22" t="s">
        <v>14</v>
      </c>
      <c r="D28" s="22"/>
      <c r="E28" s="22"/>
      <c r="F28" s="22" t="s">
        <v>15</v>
      </c>
      <c r="G28" s="22"/>
      <c r="H28" s="22"/>
      <c r="I28" s="22"/>
      <c r="J28" s="22" t="s">
        <v>16</v>
      </c>
      <c r="K28" s="22"/>
      <c r="L28" s="22"/>
      <c r="M28" s="22"/>
      <c r="N28" s="22"/>
      <c r="O28" s="22"/>
      <c r="P28" s="22" t="s">
        <v>17</v>
      </c>
      <c r="Q28" s="22"/>
      <c r="R28" s="22"/>
      <c r="S28" s="22"/>
      <c r="T28" s="22"/>
      <c r="U28" s="22"/>
      <c r="V28" s="22"/>
      <c r="W28" s="22"/>
      <c r="X28" s="22"/>
    </row>
    <row r="29" customFormat="false" ht="12.75" hidden="false" customHeight="true" outlineLevel="0" collapsed="false">
      <c r="A29" s="23" t="s">
        <v>18</v>
      </c>
      <c r="B29" s="23"/>
      <c r="C29" s="23" t="s">
        <v>19</v>
      </c>
      <c r="D29" s="23"/>
      <c r="E29" s="23"/>
      <c r="F29" s="23" t="s">
        <v>20</v>
      </c>
      <c r="G29" s="23"/>
      <c r="H29" s="23"/>
      <c r="I29" s="23"/>
      <c r="J29" s="24"/>
      <c r="K29" s="24"/>
      <c r="L29" s="24"/>
      <c r="M29" s="24"/>
      <c r="N29" s="24"/>
      <c r="O29" s="24"/>
      <c r="P29" s="23" t="s">
        <v>21</v>
      </c>
      <c r="Q29" s="23"/>
      <c r="R29" s="23"/>
      <c r="S29" s="23"/>
      <c r="T29" s="23"/>
      <c r="U29" s="23"/>
      <c r="V29" s="23"/>
      <c r="W29" s="23"/>
      <c r="X29" s="23"/>
    </row>
    <row r="30" customFormat="false" ht="6" hidden="false" customHeight="true" outlineLevel="0" collapsed="false">
      <c r="A30" s="25"/>
      <c r="B30" s="25"/>
      <c r="C30" s="25"/>
      <c r="D30" s="25"/>
      <c r="E30" s="25"/>
      <c r="F30" s="25"/>
      <c r="G30" s="25"/>
      <c r="H30" s="25"/>
      <c r="I30" s="25"/>
      <c r="J30" s="25"/>
      <c r="K30" s="25"/>
      <c r="L30" s="25"/>
      <c r="M30" s="25"/>
      <c r="N30" s="25"/>
      <c r="O30" s="25"/>
      <c r="P30" s="25"/>
      <c r="Q30" s="25"/>
      <c r="R30" s="25"/>
      <c r="S30" s="25"/>
      <c r="T30" s="25"/>
      <c r="U30" s="25"/>
      <c r="V30" s="25"/>
    </row>
    <row r="31" customFormat="false" ht="12.75" hidden="false" customHeight="false" outlineLevel="0" collapsed="false">
      <c r="A31" s="22" t="s">
        <v>22</v>
      </c>
      <c r="B31" s="22"/>
      <c r="C31" s="22"/>
      <c r="D31" s="22"/>
      <c r="E31" s="22"/>
      <c r="F31" s="22"/>
      <c r="G31" s="22" t="s">
        <v>23</v>
      </c>
      <c r="H31" s="22"/>
      <c r="I31" s="22"/>
      <c r="J31" s="22"/>
      <c r="K31" s="22" t="s">
        <v>24</v>
      </c>
      <c r="L31" s="22"/>
      <c r="M31" s="22"/>
      <c r="N31" s="22"/>
      <c r="O31" s="22"/>
      <c r="P31" s="22"/>
      <c r="Q31" s="22" t="s">
        <v>25</v>
      </c>
      <c r="R31" s="22"/>
      <c r="S31" s="22"/>
      <c r="T31" s="22"/>
      <c r="U31" s="22"/>
      <c r="V31" s="22"/>
      <c r="W31" s="22"/>
      <c r="X31" s="22"/>
    </row>
    <row r="32" customFormat="false" ht="12.75" hidden="false" customHeight="true" outlineLevel="0" collapsed="false">
      <c r="A32" s="26" t="s">
        <v>26</v>
      </c>
      <c r="B32" s="26"/>
      <c r="C32" s="26"/>
      <c r="D32" s="26"/>
      <c r="E32" s="26"/>
      <c r="F32" s="26"/>
      <c r="G32" s="23" t="s">
        <v>27</v>
      </c>
      <c r="H32" s="23"/>
      <c r="I32" s="23"/>
      <c r="J32" s="23"/>
      <c r="K32" s="23" t="s">
        <v>28</v>
      </c>
      <c r="L32" s="23"/>
      <c r="M32" s="23"/>
      <c r="N32" s="23"/>
      <c r="O32" s="23"/>
      <c r="P32" s="23"/>
      <c r="Q32" s="24"/>
      <c r="R32" s="24"/>
      <c r="S32" s="24"/>
      <c r="T32" s="24"/>
      <c r="U32" s="24"/>
      <c r="V32" s="24"/>
      <c r="W32" s="24"/>
      <c r="X32" s="24"/>
    </row>
    <row r="33" s="8" customFormat="true" ht="9" hidden="false" customHeight="true" outlineLevel="0" collapsed="false">
      <c r="A33" s="9"/>
      <c r="B33" s="9"/>
      <c r="F33" s="10"/>
      <c r="G33" s="10"/>
      <c r="H33" s="10"/>
    </row>
    <row r="34" s="27" customFormat="true" ht="12.75" hidden="false" customHeight="false" outlineLevel="0" collapsed="false"/>
    <row r="35" s="8" customFormat="true" ht="12.75" hidden="false" customHeight="true" outlineLevel="0" collapsed="false">
      <c r="A35" s="20" t="s">
        <v>29</v>
      </c>
      <c r="B35" s="20"/>
      <c r="C35" s="20"/>
      <c r="D35" s="20"/>
      <c r="E35" s="20"/>
      <c r="F35" s="20"/>
      <c r="G35" s="20"/>
      <c r="H35" s="20"/>
      <c r="I35" s="20"/>
      <c r="J35" s="20"/>
      <c r="K35" s="20"/>
      <c r="L35" s="20"/>
      <c r="M35" s="20"/>
      <c r="N35" s="20"/>
      <c r="O35" s="20"/>
      <c r="P35" s="20"/>
      <c r="Q35" s="20"/>
      <c r="R35" s="20"/>
      <c r="S35" s="20"/>
      <c r="T35" s="20"/>
      <c r="U35" s="20"/>
      <c r="V35" s="20"/>
      <c r="W35" s="20"/>
      <c r="X35" s="20"/>
    </row>
    <row r="36" s="8" customFormat="true" ht="6" hidden="false" customHeight="true" outlineLevel="0" collapsed="false">
      <c r="A36" s="20"/>
      <c r="B36" s="20"/>
      <c r="C36" s="28"/>
      <c r="D36" s="28"/>
      <c r="E36" s="28"/>
      <c r="F36" s="28"/>
      <c r="G36" s="28"/>
      <c r="H36" s="28"/>
      <c r="I36" s="28"/>
      <c r="J36" s="28"/>
      <c r="K36" s="28"/>
      <c r="L36" s="28"/>
      <c r="M36" s="28"/>
      <c r="N36" s="28"/>
      <c r="O36" s="28"/>
      <c r="P36" s="28"/>
      <c r="Q36" s="28"/>
      <c r="R36" s="28"/>
      <c r="S36" s="28"/>
      <c r="T36" s="28"/>
      <c r="U36" s="28"/>
      <c r="V36" s="28"/>
      <c r="W36" s="28"/>
      <c r="X36" s="28"/>
    </row>
    <row r="37" s="8" customFormat="true" ht="12.75" hidden="false" customHeight="true" outlineLevel="0" collapsed="false">
      <c r="A37" s="22" t="s">
        <v>30</v>
      </c>
      <c r="B37" s="22"/>
      <c r="C37" s="29" t="s">
        <v>31</v>
      </c>
      <c r="D37" s="22" t="s">
        <v>32</v>
      </c>
      <c r="E37" s="22"/>
      <c r="F37" s="22"/>
      <c r="G37" s="22" t="s">
        <v>33</v>
      </c>
      <c r="H37" s="22"/>
      <c r="I37" s="22"/>
      <c r="J37" s="22"/>
      <c r="K37" s="22"/>
      <c r="L37" s="22"/>
      <c r="M37" s="22"/>
      <c r="N37" s="22"/>
      <c r="O37" s="22"/>
      <c r="P37" s="22"/>
      <c r="Q37" s="22"/>
      <c r="R37" s="22"/>
      <c r="S37" s="22"/>
      <c r="T37" s="30" t="s">
        <v>34</v>
      </c>
      <c r="U37" s="30" t="s">
        <v>35</v>
      </c>
      <c r="V37" s="30" t="s">
        <v>36</v>
      </c>
      <c r="W37" s="30" t="s">
        <v>37</v>
      </c>
      <c r="X37" s="30" t="s">
        <v>38</v>
      </c>
    </row>
    <row r="38" s="8" customFormat="true" ht="12.75" hidden="false" customHeight="true" outlineLevel="0" collapsed="false">
      <c r="A38" s="31" t="n">
        <v>43374</v>
      </c>
      <c r="B38" s="31"/>
      <c r="C38" s="32" t="s">
        <v>39</v>
      </c>
      <c r="D38" s="23" t="s">
        <v>40</v>
      </c>
      <c r="E38" s="23"/>
      <c r="F38" s="23"/>
      <c r="G38" s="23"/>
      <c r="H38" s="23"/>
      <c r="I38" s="23"/>
      <c r="J38" s="23"/>
      <c r="K38" s="23"/>
      <c r="L38" s="23"/>
      <c r="M38" s="23"/>
      <c r="N38" s="23"/>
      <c r="O38" s="23"/>
      <c r="P38" s="23"/>
      <c r="Q38" s="23"/>
      <c r="R38" s="23"/>
      <c r="S38" s="23"/>
      <c r="T38" s="33" t="n">
        <f aca="true">IF(ISERROR(INDIRECT("'BDI ("&amp;RIGHT(T37,1)&amp;")'!N27")),"",INDIRECT("'BDI ("&amp;RIGHT(T37,1)&amp;")'!N27"))</f>
        <v>0.2642</v>
      </c>
      <c r="U38" s="34" t="str">
        <f aca="true">IF(ISERROR(INDIRECT("'BDI ("&amp;RIGHT(U37,1)&amp;")'!N27")),"",INDIRECT("'BDI ("&amp;RIGHT(U37,1)&amp;")'!N27"))</f>
        <v/>
      </c>
      <c r="V38" s="34" t="str">
        <f aca="true">IF(ISERROR(INDIRECT("'BDI ("&amp;RIGHT(V37,1)&amp;")'!N27")),"",INDIRECT("'BDI ("&amp;RIGHT(V37,1)&amp;")'!N27"))</f>
        <v/>
      </c>
      <c r="W38" s="34" t="str">
        <f aca="true">IF(ISERROR(INDIRECT("'BDI ("&amp;RIGHT(W37,1)&amp;")'!N27")),"",INDIRECT("'BDI ("&amp;RIGHT(W37,1)&amp;")'!N27"))</f>
        <v/>
      </c>
      <c r="X38" s="34" t="str">
        <f aca="true">IF(ISERROR(INDIRECT("'BDI ("&amp;RIGHT(X37,1)&amp;")'!N27")),"",INDIRECT("'BDI ("&amp;RIGHT(X37,1)&amp;")'!N27"))</f>
        <v/>
      </c>
    </row>
    <row r="39" s="8" customFormat="true" ht="11.25" hidden="false" customHeight="true" outlineLevel="0" collapsed="false">
      <c r="A39" s="20"/>
      <c r="B39" s="20"/>
      <c r="C39" s="28"/>
      <c r="D39" s="28"/>
      <c r="E39" s="28"/>
      <c r="F39" s="28"/>
      <c r="G39" s="28"/>
      <c r="H39" s="28"/>
      <c r="I39" s="28"/>
      <c r="J39" s="28"/>
      <c r="K39" s="28"/>
      <c r="L39" s="28"/>
      <c r="M39" s="28"/>
      <c r="N39" s="28"/>
      <c r="O39" s="28"/>
      <c r="P39" s="28"/>
      <c r="Q39" s="28"/>
      <c r="R39" s="28"/>
      <c r="S39" s="28"/>
      <c r="T39" s="28"/>
      <c r="U39" s="28"/>
      <c r="V39" s="28"/>
      <c r="W39" s="28"/>
      <c r="X39" s="28"/>
    </row>
    <row r="40" s="8" customFormat="true" ht="12.75" hidden="false" customHeight="true" outlineLevel="0" collapsed="false">
      <c r="A40" s="20" t="s">
        <v>41</v>
      </c>
      <c r="B40" s="20"/>
      <c r="C40" s="20"/>
      <c r="D40" s="20"/>
      <c r="E40" s="20"/>
      <c r="F40" s="20"/>
      <c r="G40" s="20"/>
      <c r="H40" s="20"/>
      <c r="I40" s="20"/>
      <c r="J40" s="20"/>
      <c r="K40" s="20"/>
      <c r="L40" s="20"/>
      <c r="M40" s="20"/>
      <c r="N40" s="20"/>
      <c r="O40" s="20"/>
      <c r="P40" s="20"/>
      <c r="Q40" s="20"/>
      <c r="R40" s="20"/>
      <c r="S40" s="20"/>
      <c r="T40" s="20"/>
      <c r="U40" s="20"/>
      <c r="V40" s="20"/>
      <c r="W40" s="20"/>
      <c r="X40" s="20"/>
    </row>
    <row r="41" s="8" customFormat="true" ht="6" hidden="false" customHeight="true" outlineLevel="0" collapsed="false">
      <c r="A41" s="20"/>
      <c r="B41" s="20"/>
      <c r="C41" s="28"/>
      <c r="D41" s="28"/>
      <c r="E41" s="28"/>
      <c r="F41" s="28"/>
      <c r="G41" s="28"/>
      <c r="H41" s="28"/>
      <c r="I41" s="28"/>
      <c r="J41" s="28"/>
      <c r="K41" s="28"/>
      <c r="L41" s="28"/>
      <c r="M41" s="28"/>
      <c r="N41" s="28"/>
      <c r="O41" s="28"/>
      <c r="P41" s="28"/>
      <c r="Q41" s="28"/>
      <c r="R41" s="28"/>
      <c r="S41" s="28"/>
      <c r="T41" s="28"/>
      <c r="U41" s="28"/>
      <c r="V41" s="28"/>
      <c r="W41" s="28"/>
      <c r="X41" s="28"/>
    </row>
    <row r="42" s="8" customFormat="true" ht="12.75" hidden="false" customHeight="true" outlineLevel="0" collapsed="false">
      <c r="A42" s="22" t="s">
        <v>42</v>
      </c>
      <c r="B42" s="22"/>
      <c r="C42" s="35" t="s">
        <v>43</v>
      </c>
      <c r="D42" s="35"/>
      <c r="E42" s="35"/>
      <c r="F42" s="35"/>
      <c r="G42" s="35"/>
      <c r="H42" s="35" t="s">
        <v>30</v>
      </c>
      <c r="I42" s="35"/>
      <c r="J42" s="35" t="s">
        <v>31</v>
      </c>
      <c r="K42" s="22" t="s">
        <v>44</v>
      </c>
      <c r="L42" s="22"/>
      <c r="M42" s="22"/>
      <c r="N42" s="35" t="s">
        <v>45</v>
      </c>
      <c r="O42" s="22" t="s">
        <v>46</v>
      </c>
      <c r="P42" s="22"/>
      <c r="Q42" s="22"/>
      <c r="R42" s="22"/>
      <c r="S42" s="22"/>
      <c r="T42" s="22"/>
      <c r="U42" s="36" t="s">
        <v>47</v>
      </c>
      <c r="V42" s="36"/>
      <c r="W42" s="36" t="s">
        <v>48</v>
      </c>
      <c r="X42" s="36"/>
    </row>
    <row r="43" s="8" customFormat="true" ht="12.75" hidden="false" customHeight="true" outlineLevel="0" collapsed="false">
      <c r="A43" s="26"/>
      <c r="B43" s="26"/>
      <c r="C43" s="37"/>
      <c r="D43" s="37"/>
      <c r="E43" s="37"/>
      <c r="F43" s="37"/>
      <c r="G43" s="37"/>
      <c r="H43" s="31"/>
      <c r="I43" s="31"/>
      <c r="J43" s="37"/>
      <c r="K43" s="38"/>
      <c r="L43" s="38"/>
      <c r="M43" s="38"/>
      <c r="N43" s="39"/>
      <c r="O43" s="40"/>
      <c r="P43" s="40"/>
      <c r="Q43" s="40"/>
      <c r="R43" s="40"/>
      <c r="S43" s="40"/>
      <c r="T43" s="40"/>
      <c r="U43" s="41"/>
      <c r="V43" s="41"/>
      <c r="W43" s="41"/>
      <c r="X43" s="41"/>
    </row>
    <row r="44" s="8" customFormat="true" ht="12.75" hidden="false" customHeight="true" outlineLevel="0" collapsed="false">
      <c r="A44" s="20"/>
      <c r="B44" s="20"/>
      <c r="C44" s="28"/>
      <c r="D44" s="28"/>
      <c r="E44" s="28"/>
      <c r="F44" s="28"/>
      <c r="G44" s="28"/>
      <c r="H44" s="28"/>
      <c r="I44" s="28"/>
      <c r="J44" s="28"/>
      <c r="K44" s="28"/>
      <c r="L44" s="28"/>
      <c r="M44" s="28"/>
      <c r="N44" s="28"/>
      <c r="O44" s="28"/>
      <c r="P44" s="28"/>
      <c r="Q44" s="28"/>
      <c r="R44" s="28"/>
      <c r="S44" s="28"/>
      <c r="T44" s="28"/>
      <c r="U44" s="28"/>
      <c r="V44" s="28"/>
      <c r="W44" s="28"/>
      <c r="X44" s="28"/>
    </row>
    <row r="45" s="8" customFormat="true" ht="12.75" hidden="false" customHeight="true" outlineLevel="0" collapsed="false">
      <c r="A45" s="20" t="s">
        <v>49</v>
      </c>
      <c r="B45" s="20"/>
      <c r="C45" s="20"/>
      <c r="D45" s="20"/>
      <c r="E45" s="20"/>
      <c r="F45" s="20"/>
      <c r="G45" s="20"/>
      <c r="H45" s="20"/>
      <c r="I45" s="20"/>
      <c r="J45" s="20"/>
      <c r="K45" s="20"/>
      <c r="L45" s="20"/>
      <c r="M45" s="20"/>
      <c r="N45" s="20"/>
      <c r="O45" s="20"/>
      <c r="P45" s="20"/>
      <c r="Q45" s="20"/>
      <c r="R45" s="20"/>
      <c r="S45" s="20"/>
      <c r="T45" s="20"/>
      <c r="U45" s="20"/>
      <c r="V45" s="20"/>
      <c r="W45" s="20"/>
      <c r="X45" s="20"/>
    </row>
    <row r="46" s="8" customFormat="true" ht="6" hidden="false" customHeight="true" outlineLevel="0" collapsed="false">
      <c r="A46" s="20"/>
      <c r="B46" s="20"/>
      <c r="C46" s="28"/>
      <c r="D46" s="28"/>
      <c r="E46" s="28"/>
      <c r="F46" s="28"/>
      <c r="G46" s="28"/>
      <c r="H46" s="28"/>
      <c r="I46" s="28"/>
      <c r="J46" s="28"/>
      <c r="K46" s="28"/>
      <c r="L46" s="28"/>
      <c r="M46" s="28"/>
      <c r="N46" s="28"/>
      <c r="O46" s="28"/>
      <c r="P46" s="28"/>
      <c r="Q46" s="28"/>
      <c r="R46" s="28"/>
      <c r="S46" s="28"/>
      <c r="T46" s="28"/>
      <c r="U46" s="28"/>
      <c r="V46" s="28"/>
      <c r="W46" s="28"/>
      <c r="X46" s="28"/>
    </row>
    <row r="47" s="8" customFormat="true" ht="12.75" hidden="false" customHeight="false" outlineLevel="0" collapsed="false">
      <c r="A47" s="35" t="s">
        <v>50</v>
      </c>
      <c r="B47" s="42"/>
      <c r="C47" s="43"/>
    </row>
    <row r="48" s="8" customFormat="true" ht="12.75" hidden="false" customHeight="false" outlineLevel="0" collapsed="false">
      <c r="A48" s="44"/>
      <c r="B48" s="44"/>
      <c r="C48" s="44"/>
      <c r="E48" s="45"/>
    </row>
    <row r="49" s="8" customFormat="true" ht="12.75" hidden="false" customHeight="false" outlineLevel="0" collapsed="false">
      <c r="A49" s="9"/>
      <c r="B49" s="9"/>
      <c r="F49" s="46"/>
      <c r="G49" s="47"/>
      <c r="H49" s="48"/>
    </row>
    <row r="50" s="8" customFormat="true" ht="12.75" hidden="false" customHeight="true" outlineLevel="0" collapsed="false">
      <c r="A50" s="20" t="s">
        <v>51</v>
      </c>
      <c r="B50" s="20"/>
      <c r="C50" s="20"/>
      <c r="D50" s="20"/>
      <c r="E50" s="20"/>
      <c r="F50" s="20"/>
      <c r="G50" s="20"/>
      <c r="H50" s="20"/>
      <c r="I50" s="20"/>
      <c r="J50" s="20"/>
      <c r="K50" s="20"/>
      <c r="L50" s="20"/>
      <c r="M50" s="20"/>
      <c r="N50" s="20"/>
      <c r="O50" s="20"/>
      <c r="P50" s="20"/>
      <c r="Q50" s="20"/>
      <c r="R50" s="20"/>
      <c r="S50" s="20"/>
      <c r="T50" s="20"/>
      <c r="U50" s="20"/>
      <c r="V50" s="20"/>
      <c r="W50" s="20"/>
      <c r="X50" s="20"/>
    </row>
    <row r="51" s="8" customFormat="true" ht="12.75" hidden="false" customHeight="false" outlineLevel="0" collapsed="false">
      <c r="A51" s="20"/>
      <c r="B51" s="20"/>
      <c r="C51" s="28"/>
      <c r="D51" s="28"/>
      <c r="E51" s="28"/>
      <c r="F51" s="28"/>
      <c r="G51" s="28"/>
      <c r="H51" s="28"/>
      <c r="I51" s="28"/>
      <c r="J51" s="28"/>
      <c r="K51" s="28"/>
      <c r="L51" s="28"/>
    </row>
    <row r="52" s="8" customFormat="true" ht="12.75" hidden="false" customHeight="false" outlineLevel="0" collapsed="false">
      <c r="A52" s="20"/>
      <c r="B52" s="20"/>
      <c r="C52" s="28"/>
      <c r="D52" s="28"/>
      <c r="E52" s="28"/>
      <c r="F52" s="28"/>
      <c r="G52" s="1" t="s">
        <v>52</v>
      </c>
      <c r="H52" s="28"/>
      <c r="I52" s="28"/>
      <c r="K52" s="49" t="s">
        <v>53</v>
      </c>
      <c r="L52" s="28"/>
    </row>
    <row r="53" s="8" customFormat="true" ht="12.75" hidden="false" customHeight="false" outlineLevel="0" collapsed="false">
      <c r="A53" s="50"/>
      <c r="B53" s="50"/>
      <c r="C53" s="51"/>
      <c r="D53" s="51"/>
      <c r="E53" s="51"/>
      <c r="F53" s="46"/>
      <c r="G53" s="50"/>
      <c r="H53" s="50"/>
      <c r="I53" s="51"/>
      <c r="J53" s="51"/>
      <c r="K53" s="51"/>
      <c r="L53" s="52"/>
    </row>
    <row r="54" s="8" customFormat="true" ht="12.75" hidden="false" customHeight="false" outlineLevel="0" collapsed="false">
      <c r="A54" s="53" t="s">
        <v>54</v>
      </c>
      <c r="B54" s="54" t="s">
        <v>55</v>
      </c>
      <c r="C54" s="54"/>
      <c r="D54" s="54"/>
      <c r="E54" s="54"/>
      <c r="F54" s="46"/>
      <c r="G54" s="53" t="s">
        <v>54</v>
      </c>
      <c r="H54" s="55"/>
      <c r="I54" s="55"/>
      <c r="J54" s="55"/>
      <c r="K54" s="55"/>
      <c r="L54" s="52"/>
    </row>
    <row r="55" s="8" customFormat="true" ht="12.75" hidden="false" customHeight="false" outlineLevel="0" collapsed="false">
      <c r="A55" s="53" t="str">
        <f aca="false">IF(OR(TipoOrçamento="BASE",TipoOrçamento="REPROGRAMADONPL"),"Título:","Cargo:")</f>
        <v>Título:</v>
      </c>
      <c r="B55" s="54" t="s">
        <v>56</v>
      </c>
      <c r="C55" s="54"/>
      <c r="D55" s="54"/>
      <c r="E55" s="54"/>
      <c r="F55" s="46"/>
      <c r="G55" s="53" t="str">
        <f aca="false">A55</f>
        <v>Título:</v>
      </c>
      <c r="H55" s="55"/>
      <c r="I55" s="55"/>
      <c r="J55" s="55"/>
      <c r="K55" s="55"/>
      <c r="L55" s="52"/>
    </row>
    <row r="56" s="8" customFormat="true" ht="12.75" hidden="false" customHeight="false" outlineLevel="0" collapsed="false">
      <c r="A56" s="53" t="str">
        <f aca="false">IF(OR(TipoOrçamento="BASE",TipoOrçamento="REPROGRAMADONPL"),"CREA/CAU:","Empresa:")</f>
        <v>CREA/CAU:</v>
      </c>
      <c r="B56" s="56" t="s">
        <v>57</v>
      </c>
      <c r="C56" s="56"/>
      <c r="D56" s="56"/>
      <c r="E56" s="56"/>
      <c r="F56" s="46"/>
      <c r="G56" s="53" t="str">
        <f aca="false">A56</f>
        <v>CREA/CAU:</v>
      </c>
      <c r="H56" s="57"/>
      <c r="I56" s="57"/>
      <c r="J56" s="57"/>
      <c r="K56" s="57"/>
      <c r="L56" s="52"/>
    </row>
    <row r="57" s="8" customFormat="true" ht="12.75" hidden="false" customHeight="false" outlineLevel="0" collapsed="false">
      <c r="A57" s="53" t="str">
        <f aca="false">IF(OR(TipoOrçamento="BASE",TipoOrçamento="REPROGRAMADONPL"),"ART/RRT:","CNPJ:")</f>
        <v>ART/RRT:</v>
      </c>
      <c r="B57" s="56" t="s">
        <v>58</v>
      </c>
      <c r="C57" s="56"/>
      <c r="D57" s="56"/>
      <c r="E57" s="56"/>
      <c r="F57" s="46"/>
      <c r="G57" s="53" t="str">
        <f aca="false">A57</f>
        <v>ART/RRT:</v>
      </c>
      <c r="H57" s="57"/>
      <c r="I57" s="57"/>
      <c r="J57" s="57"/>
      <c r="K57" s="57"/>
      <c r="L57" s="52"/>
    </row>
    <row r="58" s="8" customFormat="true" ht="12.75" hidden="false" customHeight="false" outlineLevel="0" collapsed="false">
      <c r="A58" s="9"/>
      <c r="B58" s="9"/>
      <c r="F58" s="46"/>
      <c r="G58" s="47"/>
      <c r="H58" s="48"/>
    </row>
    <row r="59" s="8" customFormat="true" ht="12.75" hidden="false" customHeight="false" outlineLevel="0" collapsed="false">
      <c r="A59" s="9"/>
      <c r="B59" s="9"/>
      <c r="F59" s="46"/>
      <c r="G59" s="47"/>
      <c r="H59" s="48"/>
    </row>
    <row r="60" s="8" customFormat="true" ht="12.75" hidden="false" customHeight="true" outlineLevel="0" collapsed="false">
      <c r="A60" s="17" t="s">
        <v>59</v>
      </c>
      <c r="B60" s="17"/>
      <c r="C60" s="17"/>
      <c r="D60" s="17"/>
      <c r="E60" s="17"/>
      <c r="F60" s="17"/>
      <c r="G60" s="17"/>
      <c r="H60" s="17"/>
      <c r="I60" s="17"/>
      <c r="J60" s="17"/>
      <c r="K60" s="17"/>
      <c r="L60" s="17"/>
      <c r="M60" s="17"/>
      <c r="N60" s="17"/>
      <c r="O60" s="17"/>
      <c r="P60" s="17"/>
      <c r="Q60" s="17"/>
      <c r="R60" s="17"/>
      <c r="S60" s="17"/>
      <c r="T60" s="17"/>
      <c r="U60" s="17"/>
      <c r="V60" s="17"/>
      <c r="W60" s="17"/>
      <c r="X60" s="17"/>
    </row>
    <row r="61" s="8" customFormat="true" ht="12.75" hidden="false" customHeight="false" outlineLevel="0" collapsed="false">
      <c r="A61" s="17"/>
      <c r="B61" s="17"/>
      <c r="C61" s="19"/>
      <c r="D61" s="19"/>
      <c r="E61" s="19"/>
      <c r="F61" s="19"/>
      <c r="G61" s="19"/>
      <c r="H61" s="19"/>
      <c r="I61" s="19"/>
      <c r="J61" s="19"/>
      <c r="K61" s="19"/>
      <c r="L61" s="19"/>
      <c r="M61" s="19"/>
      <c r="N61" s="19"/>
      <c r="O61" s="19"/>
      <c r="P61" s="19"/>
      <c r="Q61" s="19"/>
      <c r="R61" s="19"/>
      <c r="S61" s="19"/>
      <c r="T61" s="19"/>
      <c r="U61" s="19"/>
      <c r="V61" s="19"/>
      <c r="W61" s="19"/>
      <c r="X61" s="19"/>
    </row>
    <row r="62" s="59" customFormat="true" ht="12.75" hidden="false" customHeight="true" outlineLevel="0" collapsed="false">
      <c r="A62" s="58" t="s">
        <v>60</v>
      </c>
      <c r="B62" s="58"/>
      <c r="C62" s="58"/>
      <c r="D62" s="58"/>
      <c r="E62" s="58"/>
      <c r="F62" s="58"/>
      <c r="G62" s="58"/>
      <c r="H62" s="58"/>
      <c r="I62" s="58"/>
      <c r="J62" s="58"/>
      <c r="K62" s="58"/>
      <c r="L62" s="58"/>
      <c r="M62" s="58"/>
      <c r="N62" s="58"/>
      <c r="O62" s="58"/>
      <c r="P62" s="58"/>
      <c r="Q62" s="58"/>
      <c r="R62" s="58"/>
      <c r="S62" s="58"/>
      <c r="T62" s="58"/>
      <c r="U62" s="58"/>
      <c r="V62" s="58"/>
      <c r="W62" s="58"/>
      <c r="X62" s="58"/>
    </row>
    <row r="63" s="8" customFormat="true" ht="30" hidden="false" customHeight="true" outlineLevel="0" collapsed="false">
      <c r="A63" s="58" t="s">
        <v>61</v>
      </c>
      <c r="B63" s="58"/>
      <c r="C63" s="58"/>
      <c r="D63" s="58"/>
      <c r="E63" s="58"/>
      <c r="F63" s="58"/>
      <c r="G63" s="58"/>
      <c r="H63" s="58"/>
      <c r="I63" s="58"/>
      <c r="J63" s="58"/>
      <c r="K63" s="58"/>
      <c r="L63" s="58"/>
      <c r="M63" s="58"/>
      <c r="N63" s="58"/>
      <c r="O63" s="58"/>
      <c r="P63" s="58"/>
      <c r="Q63" s="58"/>
      <c r="R63" s="58"/>
      <c r="S63" s="58"/>
      <c r="T63" s="58"/>
      <c r="U63" s="58"/>
      <c r="V63" s="58"/>
      <c r="W63" s="58"/>
      <c r="X63" s="58"/>
    </row>
    <row r="64" s="8" customFormat="true" ht="12.75" hidden="false" customHeight="false" outlineLevel="0" collapsed="false">
      <c r="A64" s="9"/>
      <c r="B64" s="9"/>
      <c r="F64" s="46"/>
      <c r="G64" s="47"/>
      <c r="H64" s="48"/>
    </row>
    <row r="65" s="8" customFormat="true" ht="12.75" hidden="false" customHeight="true" outlineLevel="0" collapsed="false">
      <c r="A65" s="17" t="s">
        <v>62</v>
      </c>
      <c r="B65" s="17"/>
      <c r="C65" s="17"/>
      <c r="D65" s="17"/>
      <c r="E65" s="17"/>
      <c r="F65" s="17"/>
      <c r="G65" s="17"/>
      <c r="H65" s="17"/>
      <c r="I65" s="17"/>
      <c r="J65" s="17"/>
      <c r="K65" s="17"/>
      <c r="L65" s="17"/>
      <c r="M65" s="17"/>
      <c r="N65" s="17"/>
      <c r="O65" s="17"/>
      <c r="P65" s="17"/>
      <c r="Q65" s="17"/>
      <c r="R65" s="17"/>
      <c r="S65" s="17"/>
      <c r="T65" s="17"/>
      <c r="U65" s="17"/>
      <c r="V65" s="17"/>
      <c r="W65" s="17"/>
      <c r="X65" s="17"/>
    </row>
    <row r="66" s="8" customFormat="true" ht="12.75" hidden="false" customHeight="false" outlineLevel="0" collapsed="false">
      <c r="A66" s="17"/>
      <c r="B66" s="17"/>
      <c r="C66" s="19"/>
      <c r="D66" s="19"/>
      <c r="E66" s="19"/>
      <c r="F66" s="19"/>
      <c r="G66" s="19"/>
      <c r="H66" s="19"/>
      <c r="I66" s="19"/>
      <c r="J66" s="19"/>
      <c r="K66" s="19"/>
      <c r="L66" s="19"/>
      <c r="M66" s="19"/>
      <c r="N66" s="19"/>
      <c r="O66" s="19"/>
      <c r="P66" s="19"/>
      <c r="Q66" s="19"/>
      <c r="R66" s="19"/>
      <c r="S66" s="19"/>
      <c r="T66" s="19"/>
      <c r="U66" s="19"/>
      <c r="V66" s="19"/>
      <c r="W66" s="19"/>
      <c r="X66" s="19"/>
    </row>
    <row r="67" s="8" customFormat="true" ht="12.75" hidden="false" customHeight="true" outlineLevel="0" collapsed="false">
      <c r="A67" s="20" t="s">
        <v>63</v>
      </c>
      <c r="B67" s="20"/>
      <c r="C67" s="20"/>
      <c r="D67" s="20"/>
      <c r="E67" s="20"/>
      <c r="F67" s="20"/>
      <c r="G67" s="20"/>
      <c r="H67" s="20"/>
      <c r="I67" s="20"/>
      <c r="J67" s="20"/>
      <c r="K67" s="20"/>
      <c r="L67" s="20"/>
      <c r="M67" s="20"/>
      <c r="N67" s="20"/>
      <c r="O67" s="20"/>
      <c r="P67" s="20"/>
      <c r="Q67" s="20"/>
      <c r="R67" s="20"/>
      <c r="S67" s="20"/>
      <c r="T67" s="20"/>
      <c r="U67" s="20"/>
      <c r="V67" s="20"/>
      <c r="W67" s="20"/>
      <c r="X67" s="20"/>
    </row>
    <row r="68" s="8" customFormat="true" ht="12.75" hidden="false" customHeight="true" outlineLevel="0" collapsed="false">
      <c r="A68" s="20" t="s">
        <v>64</v>
      </c>
      <c r="B68" s="20"/>
      <c r="C68" s="20"/>
      <c r="D68" s="20"/>
      <c r="E68" s="20"/>
      <c r="F68" s="20"/>
      <c r="G68" s="20"/>
      <c r="H68" s="20"/>
      <c r="I68" s="20"/>
      <c r="J68" s="20"/>
      <c r="K68" s="20"/>
      <c r="L68" s="20"/>
      <c r="M68" s="20"/>
      <c r="N68" s="20"/>
      <c r="O68" s="20"/>
      <c r="P68" s="20"/>
      <c r="Q68" s="20"/>
      <c r="R68" s="20"/>
      <c r="S68" s="20"/>
      <c r="T68" s="20"/>
      <c r="U68" s="20"/>
      <c r="V68" s="20"/>
      <c r="W68" s="20"/>
      <c r="X68" s="20"/>
    </row>
    <row r="69" s="8" customFormat="true" ht="12.75" hidden="false" customHeight="true" outlineLevel="0" collapsed="false">
      <c r="A69" s="20" t="s">
        <v>65</v>
      </c>
      <c r="B69" s="20"/>
      <c r="C69" s="20"/>
      <c r="D69" s="20"/>
      <c r="E69" s="20"/>
      <c r="F69" s="20"/>
      <c r="G69" s="20"/>
      <c r="H69" s="20"/>
      <c r="I69" s="20"/>
      <c r="J69" s="20"/>
      <c r="K69" s="20"/>
      <c r="L69" s="20"/>
      <c r="M69" s="20"/>
      <c r="N69" s="20"/>
      <c r="O69" s="20"/>
      <c r="P69" s="20"/>
      <c r="Q69" s="20"/>
      <c r="R69" s="20"/>
      <c r="S69" s="20"/>
      <c r="T69" s="20"/>
      <c r="U69" s="20"/>
      <c r="V69" s="20"/>
      <c r="W69" s="20"/>
      <c r="X69" s="20"/>
    </row>
    <row r="70" s="8" customFormat="true" ht="12.75" hidden="false" customHeight="true" outlineLevel="0" collapsed="false">
      <c r="A70" s="20" t="s">
        <v>66</v>
      </c>
      <c r="B70" s="20"/>
      <c r="C70" s="20"/>
      <c r="D70" s="20"/>
      <c r="E70" s="20"/>
      <c r="F70" s="20"/>
      <c r="G70" s="20"/>
      <c r="H70" s="20"/>
      <c r="I70" s="20"/>
      <c r="J70" s="20"/>
      <c r="K70" s="20"/>
      <c r="L70" s="20"/>
      <c r="M70" s="20"/>
      <c r="N70" s="20"/>
      <c r="O70" s="20"/>
      <c r="P70" s="20"/>
      <c r="Q70" s="20"/>
      <c r="R70" s="20"/>
      <c r="S70" s="20"/>
      <c r="T70" s="20"/>
      <c r="U70" s="20"/>
      <c r="V70" s="20"/>
      <c r="W70" s="20"/>
      <c r="X70" s="20"/>
    </row>
    <row r="71" s="8" customFormat="true" ht="12.75" hidden="false" customHeight="true" outlineLevel="0" collapsed="false">
      <c r="A71" s="20" t="s">
        <v>67</v>
      </c>
      <c r="B71" s="20"/>
      <c r="C71" s="20"/>
      <c r="D71" s="20"/>
      <c r="E71" s="20"/>
      <c r="F71" s="20"/>
      <c r="G71" s="20"/>
      <c r="H71" s="20"/>
      <c r="I71" s="20"/>
      <c r="J71" s="20"/>
      <c r="K71" s="20"/>
      <c r="L71" s="20"/>
      <c r="M71" s="20"/>
      <c r="N71" s="20"/>
      <c r="O71" s="20"/>
      <c r="P71" s="20"/>
      <c r="Q71" s="20"/>
      <c r="R71" s="20"/>
      <c r="S71" s="20"/>
      <c r="T71" s="20"/>
      <c r="U71" s="20"/>
      <c r="V71" s="20"/>
      <c r="W71" s="20"/>
      <c r="X71" s="20"/>
    </row>
    <row r="72" s="8" customFormat="true" ht="12.75" hidden="false" customHeight="true" outlineLevel="0" collapsed="false">
      <c r="A72" s="20" t="s">
        <v>68</v>
      </c>
      <c r="B72" s="20"/>
      <c r="C72" s="20"/>
      <c r="D72" s="20"/>
      <c r="E72" s="20"/>
      <c r="F72" s="20"/>
      <c r="G72" s="20"/>
      <c r="H72" s="20"/>
      <c r="I72" s="20"/>
      <c r="J72" s="20"/>
      <c r="K72" s="20"/>
      <c r="L72" s="20"/>
      <c r="M72" s="20"/>
      <c r="N72" s="20"/>
      <c r="O72" s="20"/>
      <c r="P72" s="20"/>
      <c r="Q72" s="20"/>
      <c r="R72" s="20"/>
      <c r="S72" s="20"/>
      <c r="T72" s="20"/>
      <c r="U72" s="20"/>
      <c r="V72" s="20"/>
      <c r="W72" s="20"/>
      <c r="X72" s="20"/>
    </row>
    <row r="73" s="8" customFormat="true" ht="12.75" hidden="false" customHeight="false" outlineLevel="0" collapsed="false">
      <c r="A73" s="9"/>
      <c r="B73" s="9"/>
      <c r="F73" s="46"/>
      <c r="G73" s="47"/>
      <c r="H73" s="48"/>
    </row>
    <row r="74" s="8" customFormat="true" ht="12.75" hidden="false" customHeight="true" outlineLevel="0" collapsed="false">
      <c r="A74" s="17" t="s">
        <v>69</v>
      </c>
      <c r="B74" s="17"/>
      <c r="C74" s="17"/>
      <c r="D74" s="17"/>
      <c r="E74" s="17"/>
      <c r="F74" s="17"/>
      <c r="G74" s="17"/>
      <c r="H74" s="17"/>
      <c r="I74" s="17"/>
      <c r="J74" s="17"/>
      <c r="K74" s="17"/>
      <c r="L74" s="17"/>
      <c r="M74" s="17"/>
      <c r="N74" s="17"/>
      <c r="O74" s="17"/>
      <c r="P74" s="17"/>
      <c r="Q74" s="17"/>
      <c r="R74" s="17"/>
      <c r="S74" s="17"/>
      <c r="T74" s="17"/>
      <c r="U74" s="17"/>
      <c r="V74" s="17"/>
      <c r="W74" s="17"/>
      <c r="X74" s="17"/>
    </row>
    <row r="75" s="8" customFormat="true" ht="12.75" hidden="false" customHeight="false" outlineLevel="0" collapsed="false">
      <c r="A75" s="17"/>
      <c r="B75" s="17"/>
      <c r="C75" s="19"/>
      <c r="D75" s="19"/>
      <c r="E75" s="19"/>
      <c r="F75" s="19"/>
      <c r="G75" s="19"/>
      <c r="H75" s="19"/>
      <c r="I75" s="19"/>
      <c r="J75" s="19"/>
      <c r="K75" s="19"/>
      <c r="L75" s="19"/>
      <c r="M75" s="19"/>
      <c r="N75" s="19"/>
      <c r="O75" s="19"/>
      <c r="P75" s="19"/>
      <c r="Q75" s="19"/>
      <c r="R75" s="19"/>
      <c r="S75" s="19"/>
      <c r="T75" s="19"/>
      <c r="U75" s="19"/>
      <c r="V75" s="19"/>
      <c r="W75" s="19"/>
      <c r="X75" s="19"/>
    </row>
    <row r="76" s="8" customFormat="true" ht="12.75" hidden="false" customHeight="true" outlineLevel="0" collapsed="false">
      <c r="A76" s="20" t="s">
        <v>70</v>
      </c>
      <c r="B76" s="20"/>
      <c r="C76" s="20"/>
      <c r="D76" s="20"/>
      <c r="E76" s="20"/>
      <c r="F76" s="20"/>
      <c r="G76" s="20"/>
      <c r="H76" s="20"/>
      <c r="I76" s="20"/>
      <c r="J76" s="20"/>
      <c r="K76" s="20"/>
      <c r="L76" s="20"/>
      <c r="M76" s="20"/>
      <c r="N76" s="20"/>
      <c r="O76" s="20"/>
      <c r="P76" s="20"/>
      <c r="Q76" s="20"/>
      <c r="R76" s="20"/>
      <c r="S76" s="20"/>
      <c r="T76" s="20"/>
      <c r="U76" s="20"/>
      <c r="V76" s="20"/>
      <c r="W76" s="20"/>
      <c r="X76" s="20"/>
    </row>
    <row r="77" s="8" customFormat="true" ht="26.1" hidden="false" customHeight="true" outlineLevel="0" collapsed="false">
      <c r="A77" s="60" t="s">
        <v>71</v>
      </c>
      <c r="B77" s="60"/>
      <c r="C77" s="60"/>
      <c r="D77" s="60"/>
      <c r="E77" s="60"/>
      <c r="F77" s="60"/>
      <c r="G77" s="60"/>
      <c r="H77" s="60"/>
      <c r="I77" s="60"/>
      <c r="J77" s="60"/>
      <c r="K77" s="60"/>
      <c r="L77" s="60"/>
      <c r="M77" s="60"/>
      <c r="N77" s="60"/>
      <c r="O77" s="60"/>
      <c r="P77" s="60"/>
      <c r="Q77" s="60"/>
      <c r="R77" s="60"/>
      <c r="S77" s="60"/>
      <c r="T77" s="60"/>
      <c r="U77" s="60"/>
      <c r="V77" s="60"/>
      <c r="W77" s="60"/>
      <c r="X77" s="60"/>
    </row>
    <row r="78" s="8" customFormat="true" ht="12.75" hidden="false" customHeight="true" outlineLevel="0" collapsed="false">
      <c r="A78" s="20" t="s">
        <v>72</v>
      </c>
      <c r="B78" s="20"/>
      <c r="C78" s="20"/>
      <c r="D78" s="20"/>
      <c r="E78" s="20"/>
      <c r="F78" s="20"/>
      <c r="G78" s="20"/>
      <c r="H78" s="20"/>
      <c r="I78" s="20"/>
      <c r="J78" s="20"/>
      <c r="K78" s="20"/>
      <c r="L78" s="20"/>
      <c r="M78" s="20"/>
      <c r="N78" s="20"/>
      <c r="O78" s="20"/>
      <c r="P78" s="20"/>
      <c r="Q78" s="20"/>
      <c r="R78" s="20"/>
      <c r="S78" s="20"/>
      <c r="T78" s="20"/>
      <c r="U78" s="20"/>
      <c r="V78" s="20"/>
      <c r="W78" s="20"/>
      <c r="X78" s="20"/>
    </row>
    <row r="79" s="8" customFormat="true" ht="25.5" hidden="false" customHeight="true" outlineLevel="0" collapsed="false">
      <c r="A79" s="20" t="s">
        <v>73</v>
      </c>
      <c r="B79" s="20"/>
      <c r="C79" s="20"/>
      <c r="D79" s="20"/>
      <c r="E79" s="20"/>
      <c r="F79" s="20"/>
      <c r="G79" s="20"/>
      <c r="H79" s="20"/>
      <c r="I79" s="20"/>
      <c r="J79" s="20"/>
      <c r="K79" s="20"/>
      <c r="L79" s="20"/>
      <c r="M79" s="20"/>
      <c r="N79" s="20"/>
      <c r="O79" s="20"/>
      <c r="P79" s="20"/>
      <c r="Q79" s="20"/>
      <c r="R79" s="20"/>
      <c r="S79" s="20"/>
      <c r="T79" s="20"/>
      <c r="U79" s="20"/>
      <c r="V79" s="20"/>
      <c r="W79" s="20"/>
      <c r="X79" s="20"/>
    </row>
    <row r="80" s="8" customFormat="true" ht="12.75" hidden="false" customHeight="true" outlineLevel="0" collapsed="false">
      <c r="A80" s="60" t="s">
        <v>74</v>
      </c>
      <c r="B80" s="60"/>
      <c r="C80" s="60"/>
      <c r="D80" s="60"/>
      <c r="E80" s="60"/>
      <c r="F80" s="60"/>
      <c r="G80" s="60"/>
      <c r="H80" s="60"/>
      <c r="I80" s="60"/>
      <c r="J80" s="60"/>
      <c r="K80" s="60"/>
      <c r="L80" s="60"/>
      <c r="M80" s="60"/>
      <c r="N80" s="60"/>
      <c r="O80" s="60"/>
      <c r="P80" s="60"/>
      <c r="Q80" s="60"/>
      <c r="R80" s="60"/>
      <c r="S80" s="60"/>
      <c r="T80" s="60"/>
      <c r="U80" s="60"/>
      <c r="V80" s="60"/>
      <c r="W80" s="60"/>
      <c r="X80" s="60"/>
    </row>
    <row r="81" customFormat="false" ht="12.75" hidden="false" customHeight="true" outlineLevel="0" collapsed="false">
      <c r="A81" s="20" t="s">
        <v>75</v>
      </c>
      <c r="B81" s="20"/>
      <c r="C81" s="20"/>
      <c r="D81" s="20"/>
      <c r="E81" s="20"/>
      <c r="F81" s="20"/>
      <c r="G81" s="20"/>
      <c r="H81" s="20"/>
      <c r="I81" s="20"/>
      <c r="J81" s="20"/>
      <c r="K81" s="20"/>
      <c r="L81" s="20"/>
      <c r="M81" s="20"/>
      <c r="N81" s="20"/>
      <c r="O81" s="20"/>
      <c r="P81" s="20"/>
      <c r="Q81" s="20"/>
      <c r="R81" s="20"/>
      <c r="S81" s="20"/>
      <c r="T81" s="20"/>
      <c r="U81" s="20"/>
      <c r="V81" s="20"/>
      <c r="W81" s="20"/>
      <c r="X81" s="20"/>
    </row>
    <row r="82" customFormat="false" ht="26.1" hidden="false" customHeight="true" outlineLevel="0" collapsed="false">
      <c r="A82" s="20" t="s">
        <v>76</v>
      </c>
      <c r="B82" s="20"/>
      <c r="C82" s="20"/>
      <c r="D82" s="20"/>
      <c r="E82" s="20"/>
      <c r="F82" s="20"/>
      <c r="G82" s="20"/>
      <c r="H82" s="20"/>
      <c r="I82" s="20"/>
      <c r="J82" s="20"/>
      <c r="K82" s="20"/>
      <c r="L82" s="20"/>
      <c r="M82" s="20"/>
      <c r="N82" s="20"/>
      <c r="O82" s="20"/>
      <c r="P82" s="20"/>
      <c r="Q82" s="20"/>
      <c r="R82" s="20"/>
      <c r="S82" s="20"/>
      <c r="T82" s="20"/>
      <c r="U82" s="20"/>
      <c r="V82" s="20"/>
      <c r="W82" s="20"/>
      <c r="X82" s="20"/>
    </row>
    <row r="83" s="8" customFormat="true" ht="26.1" hidden="false" customHeight="true" outlineLevel="0" collapsed="false">
      <c r="A83" s="20" t="s">
        <v>77</v>
      </c>
      <c r="B83" s="20"/>
      <c r="C83" s="20"/>
      <c r="D83" s="20"/>
      <c r="E83" s="20"/>
      <c r="F83" s="20"/>
      <c r="G83" s="20"/>
      <c r="H83" s="20"/>
      <c r="I83" s="20"/>
      <c r="J83" s="20"/>
      <c r="K83" s="20"/>
      <c r="L83" s="20"/>
      <c r="M83" s="20"/>
      <c r="N83" s="20"/>
      <c r="O83" s="20"/>
      <c r="P83" s="20"/>
      <c r="Q83" s="20"/>
      <c r="R83" s="20"/>
      <c r="S83" s="20"/>
      <c r="T83" s="20"/>
      <c r="U83" s="20"/>
      <c r="V83" s="20"/>
      <c r="W83" s="20"/>
      <c r="X83" s="20"/>
    </row>
    <row r="84" s="8" customFormat="true" ht="12.75" hidden="false" customHeight="true" outlineLevel="0" collapsed="false">
      <c r="A84" s="20" t="s">
        <v>78</v>
      </c>
      <c r="B84" s="20"/>
      <c r="C84" s="20"/>
      <c r="D84" s="20"/>
      <c r="E84" s="20"/>
      <c r="F84" s="20"/>
      <c r="G84" s="20"/>
      <c r="H84" s="20"/>
      <c r="I84" s="20"/>
      <c r="J84" s="20"/>
      <c r="K84" s="20"/>
      <c r="L84" s="20"/>
      <c r="M84" s="20"/>
      <c r="N84" s="20"/>
      <c r="O84" s="20"/>
      <c r="P84" s="20"/>
      <c r="Q84" s="20"/>
      <c r="R84" s="20"/>
      <c r="S84" s="20"/>
      <c r="T84" s="20"/>
      <c r="U84" s="20"/>
      <c r="V84" s="20"/>
      <c r="W84" s="20"/>
      <c r="X84" s="20"/>
    </row>
    <row r="85" s="8" customFormat="true" ht="12.75" hidden="false" customHeight="true" outlineLevel="0" collapsed="false">
      <c r="A85" s="20" t="s">
        <v>79</v>
      </c>
      <c r="B85" s="20"/>
      <c r="C85" s="20"/>
      <c r="D85" s="20"/>
      <c r="E85" s="20"/>
      <c r="F85" s="20"/>
      <c r="G85" s="20"/>
      <c r="H85" s="20"/>
      <c r="I85" s="20"/>
      <c r="J85" s="20"/>
      <c r="K85" s="20"/>
      <c r="L85" s="20"/>
      <c r="M85" s="20"/>
      <c r="N85" s="20"/>
      <c r="O85" s="20"/>
      <c r="P85" s="20"/>
      <c r="Q85" s="20"/>
      <c r="R85" s="20"/>
      <c r="S85" s="20"/>
      <c r="T85" s="20"/>
      <c r="U85" s="20"/>
      <c r="V85" s="20"/>
      <c r="W85" s="20"/>
      <c r="X85" s="20"/>
    </row>
    <row r="86" customFormat="false" ht="12.75" hidden="false" customHeight="true" outlineLevel="0" collapsed="false">
      <c r="A86" s="60" t="s">
        <v>80</v>
      </c>
      <c r="B86" s="60"/>
      <c r="C86" s="60"/>
      <c r="D86" s="60"/>
      <c r="E86" s="60"/>
      <c r="F86" s="60"/>
      <c r="G86" s="60"/>
      <c r="H86" s="60"/>
      <c r="I86" s="60"/>
      <c r="J86" s="60"/>
      <c r="K86" s="60"/>
      <c r="L86" s="60"/>
      <c r="M86" s="60"/>
      <c r="N86" s="60"/>
      <c r="O86" s="60"/>
      <c r="P86" s="60"/>
      <c r="Q86" s="60"/>
      <c r="R86" s="60"/>
      <c r="S86" s="60"/>
      <c r="T86" s="60"/>
      <c r="U86" s="60"/>
      <c r="V86" s="60"/>
      <c r="W86" s="60"/>
      <c r="X86" s="60"/>
    </row>
    <row r="87" customFormat="false" ht="12.75" hidden="false" customHeight="true" outlineLevel="0" collapsed="false">
      <c r="A87" s="20" t="s">
        <v>81</v>
      </c>
      <c r="B87" s="20"/>
      <c r="C87" s="20"/>
      <c r="D87" s="20"/>
      <c r="E87" s="20"/>
      <c r="F87" s="20"/>
      <c r="G87" s="20"/>
      <c r="H87" s="20"/>
      <c r="I87" s="20"/>
      <c r="J87" s="20"/>
      <c r="K87" s="20"/>
      <c r="L87" s="20"/>
      <c r="M87" s="20"/>
      <c r="N87" s="20"/>
      <c r="O87" s="20"/>
      <c r="P87" s="20"/>
      <c r="Q87" s="20"/>
      <c r="R87" s="20"/>
      <c r="S87" s="20"/>
      <c r="T87" s="20"/>
      <c r="U87" s="20"/>
      <c r="V87" s="20"/>
      <c r="W87" s="20"/>
      <c r="X87" s="20"/>
    </row>
    <row r="88" customFormat="false" ht="12.75" hidden="false" customHeight="true" outlineLevel="0" collapsed="false">
      <c r="A88" s="20" t="s">
        <v>82</v>
      </c>
      <c r="B88" s="20"/>
      <c r="C88" s="20"/>
      <c r="D88" s="20"/>
      <c r="E88" s="20"/>
      <c r="F88" s="20"/>
      <c r="G88" s="20"/>
      <c r="H88" s="20"/>
      <c r="I88" s="20"/>
      <c r="J88" s="20"/>
      <c r="K88" s="20"/>
      <c r="L88" s="20"/>
      <c r="M88" s="20"/>
      <c r="N88" s="20"/>
      <c r="O88" s="20"/>
      <c r="P88" s="20"/>
      <c r="Q88" s="20"/>
      <c r="R88" s="20"/>
      <c r="S88" s="20"/>
      <c r="T88" s="20"/>
      <c r="U88" s="20"/>
      <c r="V88" s="20"/>
      <c r="W88" s="20"/>
      <c r="X88" s="20"/>
    </row>
    <row r="90" customFormat="false" ht="12.75" hidden="false" customHeight="true" outlineLevel="0" collapsed="false">
      <c r="A90" s="17" t="s">
        <v>83</v>
      </c>
      <c r="B90" s="17"/>
      <c r="C90" s="17"/>
      <c r="D90" s="17"/>
      <c r="E90" s="17"/>
      <c r="F90" s="17"/>
      <c r="G90" s="17"/>
      <c r="H90" s="17"/>
      <c r="I90" s="17"/>
      <c r="J90" s="17"/>
      <c r="K90" s="17"/>
      <c r="L90" s="17"/>
      <c r="M90" s="17"/>
      <c r="N90" s="17"/>
      <c r="O90" s="17"/>
      <c r="P90" s="17"/>
      <c r="Q90" s="17"/>
      <c r="R90" s="17"/>
      <c r="S90" s="17"/>
      <c r="T90" s="17"/>
      <c r="U90" s="17"/>
      <c r="V90" s="17"/>
      <c r="W90" s="17"/>
      <c r="X90" s="17"/>
    </row>
    <row r="91" customFormat="false" ht="12.75" hidden="false" customHeight="false" outlineLevel="0" collapsed="false">
      <c r="A91" s="17"/>
      <c r="B91" s="17"/>
      <c r="C91" s="19"/>
      <c r="D91" s="19"/>
      <c r="E91" s="19"/>
      <c r="F91" s="19"/>
      <c r="G91" s="19"/>
      <c r="H91" s="19"/>
      <c r="I91" s="19"/>
      <c r="J91" s="19"/>
      <c r="K91" s="19"/>
      <c r="L91" s="19"/>
      <c r="M91" s="19"/>
      <c r="N91" s="19"/>
      <c r="O91" s="19"/>
      <c r="P91" s="19"/>
      <c r="Q91" s="19"/>
      <c r="R91" s="19"/>
      <c r="S91" s="19"/>
      <c r="T91" s="19"/>
      <c r="U91" s="19"/>
      <c r="V91" s="19"/>
      <c r="W91" s="19"/>
      <c r="X91" s="19"/>
    </row>
    <row r="92" customFormat="false" ht="12.75" hidden="false" customHeight="true" outlineLevel="0" collapsed="false">
      <c r="A92" s="20" t="s">
        <v>84</v>
      </c>
      <c r="B92" s="20"/>
      <c r="C92" s="20"/>
      <c r="D92" s="20"/>
      <c r="E92" s="20"/>
      <c r="F92" s="20"/>
      <c r="G92" s="20"/>
      <c r="H92" s="20"/>
      <c r="I92" s="20"/>
      <c r="J92" s="20"/>
      <c r="K92" s="20"/>
      <c r="L92" s="20"/>
      <c r="M92" s="20"/>
      <c r="N92" s="20"/>
      <c r="O92" s="20"/>
      <c r="P92" s="20"/>
      <c r="Q92" s="20"/>
      <c r="R92" s="20"/>
      <c r="S92" s="20"/>
      <c r="T92" s="20"/>
      <c r="U92" s="20"/>
      <c r="V92" s="20"/>
      <c r="W92" s="20"/>
      <c r="X92" s="20"/>
    </row>
    <row r="93" customFormat="false" ht="12.75" hidden="false" customHeight="true" outlineLevel="0" collapsed="false">
      <c r="A93" s="60" t="s">
        <v>85</v>
      </c>
      <c r="B93" s="60"/>
      <c r="C93" s="60"/>
      <c r="D93" s="60"/>
      <c r="E93" s="60"/>
      <c r="F93" s="60"/>
      <c r="G93" s="60"/>
      <c r="H93" s="60"/>
      <c r="I93" s="60"/>
      <c r="J93" s="60"/>
      <c r="K93" s="60"/>
      <c r="L93" s="60"/>
      <c r="M93" s="60"/>
      <c r="N93" s="60"/>
      <c r="O93" s="60"/>
      <c r="P93" s="60"/>
      <c r="Q93" s="60"/>
      <c r="R93" s="60"/>
      <c r="S93" s="60"/>
      <c r="T93" s="60"/>
      <c r="U93" s="60"/>
      <c r="V93" s="60"/>
      <c r="W93" s="60"/>
      <c r="X93" s="60"/>
    </row>
    <row r="94" customFormat="false" ht="12.75" hidden="false" customHeight="true" outlineLevel="0" collapsed="false">
      <c r="A94" s="20" t="s">
        <v>86</v>
      </c>
      <c r="B94" s="20"/>
      <c r="C94" s="20"/>
      <c r="D94" s="20"/>
      <c r="E94" s="20"/>
      <c r="F94" s="20"/>
      <c r="G94" s="20"/>
      <c r="H94" s="20"/>
      <c r="I94" s="20"/>
      <c r="J94" s="20"/>
      <c r="K94" s="20"/>
      <c r="L94" s="20"/>
      <c r="M94" s="20"/>
      <c r="N94" s="20"/>
      <c r="O94" s="20"/>
      <c r="P94" s="20"/>
      <c r="Q94" s="20"/>
      <c r="R94" s="20"/>
      <c r="S94" s="20"/>
      <c r="T94" s="20"/>
      <c r="U94" s="20"/>
      <c r="V94" s="20"/>
      <c r="W94" s="20"/>
      <c r="X94" s="20"/>
    </row>
    <row r="95" customFormat="false" ht="12.75" hidden="false" customHeight="true" outlineLevel="0" collapsed="false">
      <c r="A95" s="20" t="s">
        <v>87</v>
      </c>
      <c r="B95" s="20"/>
      <c r="C95" s="20"/>
      <c r="D95" s="20"/>
      <c r="E95" s="20"/>
      <c r="F95" s="20"/>
      <c r="G95" s="20"/>
      <c r="H95" s="20"/>
      <c r="I95" s="20"/>
      <c r="J95" s="20"/>
      <c r="K95" s="20"/>
      <c r="L95" s="20"/>
      <c r="M95" s="20"/>
      <c r="N95" s="20"/>
      <c r="O95" s="20"/>
      <c r="P95" s="20"/>
      <c r="Q95" s="20"/>
      <c r="R95" s="20"/>
      <c r="S95" s="20"/>
      <c r="T95" s="20"/>
      <c r="U95" s="20"/>
      <c r="V95" s="20"/>
      <c r="W95" s="20"/>
      <c r="X95" s="20"/>
    </row>
    <row r="96" customFormat="false" ht="12.75" hidden="false" customHeight="true" outlineLevel="0" collapsed="false">
      <c r="A96" s="60"/>
      <c r="B96" s="60"/>
      <c r="C96" s="60"/>
      <c r="D96" s="60"/>
      <c r="E96" s="60"/>
      <c r="F96" s="60"/>
      <c r="G96" s="60"/>
      <c r="H96" s="60"/>
      <c r="I96" s="60"/>
      <c r="J96" s="60"/>
      <c r="K96" s="60"/>
      <c r="L96" s="60"/>
      <c r="M96" s="60"/>
      <c r="N96" s="60"/>
      <c r="O96" s="60"/>
      <c r="P96" s="60"/>
      <c r="Q96" s="60"/>
      <c r="R96" s="60"/>
      <c r="S96" s="60"/>
      <c r="T96" s="60"/>
      <c r="U96" s="60"/>
      <c r="V96" s="60"/>
      <c r="W96" s="60"/>
      <c r="X96" s="60"/>
    </row>
    <row r="97" customFormat="false" ht="12.75" hidden="false" customHeight="true" outlineLevel="0" collapsed="false">
      <c r="A97" s="17" t="s">
        <v>88</v>
      </c>
      <c r="B97" s="17"/>
      <c r="C97" s="17"/>
      <c r="D97" s="17"/>
      <c r="E97" s="17"/>
      <c r="F97" s="17"/>
      <c r="G97" s="17"/>
      <c r="H97" s="17"/>
      <c r="I97" s="17"/>
      <c r="J97" s="17"/>
      <c r="K97" s="17"/>
      <c r="L97" s="17"/>
      <c r="M97" s="17"/>
      <c r="N97" s="17"/>
      <c r="O97" s="17"/>
      <c r="P97" s="17"/>
      <c r="Q97" s="17"/>
      <c r="R97" s="17"/>
      <c r="S97" s="17"/>
      <c r="T97" s="17"/>
      <c r="U97" s="17"/>
      <c r="V97" s="17"/>
      <c r="W97" s="17"/>
      <c r="X97" s="17"/>
    </row>
    <row r="98" customFormat="false" ht="12.75" hidden="false" customHeight="true" outlineLevel="0" collapsed="false">
      <c r="A98" s="60"/>
      <c r="B98" s="60"/>
      <c r="C98" s="60"/>
      <c r="D98" s="60"/>
      <c r="E98" s="60"/>
      <c r="F98" s="60"/>
      <c r="G98" s="60"/>
      <c r="H98" s="60"/>
      <c r="I98" s="60"/>
      <c r="J98" s="60"/>
      <c r="K98" s="60"/>
      <c r="L98" s="60"/>
      <c r="M98" s="60"/>
      <c r="N98" s="60"/>
      <c r="O98" s="60"/>
      <c r="P98" s="60"/>
      <c r="Q98" s="60"/>
      <c r="R98" s="60"/>
      <c r="S98" s="60"/>
      <c r="T98" s="60"/>
      <c r="U98" s="60"/>
      <c r="V98" s="60"/>
      <c r="W98" s="60"/>
      <c r="X98" s="60"/>
    </row>
    <row r="99" customFormat="false" ht="12.75" hidden="false" customHeight="true" outlineLevel="0" collapsed="false">
      <c r="A99" s="20" t="s">
        <v>89</v>
      </c>
      <c r="B99" s="20"/>
      <c r="C99" s="20"/>
      <c r="D99" s="20"/>
      <c r="E99" s="20"/>
      <c r="F99" s="20"/>
      <c r="G99" s="20"/>
      <c r="H99" s="20"/>
      <c r="I99" s="20"/>
      <c r="J99" s="20"/>
      <c r="K99" s="20"/>
      <c r="L99" s="20"/>
      <c r="M99" s="20"/>
      <c r="N99" s="20"/>
      <c r="O99" s="20"/>
      <c r="P99" s="20"/>
      <c r="Q99" s="20"/>
      <c r="R99" s="20"/>
      <c r="S99" s="20"/>
      <c r="T99" s="20"/>
      <c r="U99" s="20"/>
      <c r="V99" s="20"/>
      <c r="W99" s="20"/>
      <c r="X99" s="20"/>
    </row>
    <row r="100" customFormat="false" ht="12.75" hidden="false" customHeight="true" outlineLevel="0" collapsed="false">
      <c r="A100" s="20" t="s">
        <v>90</v>
      </c>
      <c r="B100" s="20"/>
      <c r="C100" s="20"/>
      <c r="D100" s="20"/>
      <c r="E100" s="20"/>
      <c r="F100" s="20"/>
      <c r="G100" s="20"/>
      <c r="H100" s="20"/>
      <c r="I100" s="20"/>
      <c r="J100" s="20"/>
      <c r="K100" s="20"/>
      <c r="L100" s="20"/>
      <c r="M100" s="20"/>
      <c r="N100" s="20"/>
      <c r="O100" s="20"/>
      <c r="P100" s="20"/>
      <c r="Q100" s="20"/>
      <c r="R100" s="20"/>
      <c r="S100" s="20"/>
      <c r="T100" s="20"/>
      <c r="U100" s="20"/>
      <c r="V100" s="20"/>
      <c r="W100" s="20"/>
      <c r="X100" s="20"/>
    </row>
    <row r="101" customFormat="false" ht="12.75" hidden="false" customHeight="true" outlineLevel="0" collapsed="false">
      <c r="A101" s="20" t="s">
        <v>91</v>
      </c>
      <c r="B101" s="20"/>
      <c r="C101" s="20"/>
      <c r="D101" s="20"/>
      <c r="E101" s="20"/>
      <c r="F101" s="20"/>
      <c r="G101" s="20"/>
      <c r="H101" s="20"/>
      <c r="I101" s="20"/>
      <c r="J101" s="20"/>
      <c r="K101" s="20"/>
      <c r="L101" s="20"/>
      <c r="M101" s="20"/>
      <c r="N101" s="20"/>
      <c r="O101" s="20"/>
      <c r="P101" s="20"/>
      <c r="Q101" s="20"/>
      <c r="R101" s="20"/>
      <c r="S101" s="20"/>
      <c r="T101" s="20"/>
      <c r="U101" s="20"/>
      <c r="V101" s="20"/>
      <c r="W101" s="20"/>
      <c r="X101" s="20"/>
    </row>
    <row r="102" customFormat="false" ht="12.75" hidden="false" customHeight="true" outlineLevel="0" collapsed="false">
      <c r="A102" s="20"/>
      <c r="B102" s="20"/>
      <c r="C102" s="28"/>
      <c r="D102" s="28"/>
      <c r="E102" s="28"/>
      <c r="F102" s="28"/>
      <c r="G102" s="28"/>
      <c r="H102" s="28"/>
      <c r="I102" s="28"/>
      <c r="J102" s="28"/>
      <c r="K102" s="28"/>
      <c r="L102" s="28"/>
      <c r="M102" s="28"/>
      <c r="N102" s="28"/>
      <c r="O102" s="28"/>
      <c r="P102" s="28"/>
      <c r="Q102" s="28"/>
      <c r="R102" s="28"/>
      <c r="S102" s="28"/>
      <c r="T102" s="28"/>
      <c r="U102" s="28"/>
      <c r="V102" s="28"/>
      <c r="W102" s="28"/>
      <c r="X102" s="28"/>
    </row>
    <row r="103" customFormat="false" ht="12.75" hidden="false" customHeight="true" outlineLevel="0" collapsed="false">
      <c r="A103" s="20"/>
      <c r="B103" s="20"/>
      <c r="C103" s="28"/>
      <c r="D103" s="28"/>
      <c r="E103" s="28"/>
      <c r="F103" s="28"/>
      <c r="G103" s="28"/>
      <c r="H103" s="28"/>
      <c r="I103" s="28"/>
      <c r="J103" s="28"/>
      <c r="K103" s="28"/>
      <c r="L103" s="28"/>
      <c r="M103" s="28"/>
      <c r="N103" s="28"/>
      <c r="O103" s="28"/>
      <c r="P103" s="28"/>
      <c r="Q103" s="28"/>
      <c r="R103" s="28"/>
      <c r="S103" s="28"/>
      <c r="T103" s="28"/>
      <c r="U103" s="28"/>
      <c r="V103" s="28"/>
      <c r="W103" s="28"/>
      <c r="X103" s="28"/>
    </row>
    <row r="104" customFormat="false" ht="12.75" hidden="false" customHeight="true" outlineLevel="0" collapsed="false">
      <c r="A104" s="20"/>
      <c r="B104" s="20"/>
      <c r="C104" s="28"/>
      <c r="D104" s="28"/>
      <c r="E104" s="28"/>
      <c r="F104" s="28"/>
      <c r="G104" s="28"/>
      <c r="H104" s="28"/>
      <c r="I104" s="28"/>
      <c r="J104" s="28"/>
      <c r="K104" s="28"/>
      <c r="L104" s="28"/>
      <c r="M104" s="28"/>
      <c r="N104" s="28"/>
      <c r="O104" s="28"/>
      <c r="P104" s="28"/>
      <c r="Q104" s="28"/>
      <c r="R104" s="28"/>
      <c r="S104" s="28"/>
      <c r="T104" s="28"/>
      <c r="U104" s="28"/>
      <c r="V104" s="28"/>
      <c r="W104" s="28"/>
      <c r="X104" s="28"/>
    </row>
    <row r="105" customFormat="false" ht="12.75" hidden="false" customHeight="true" outlineLevel="0" collapsed="false">
      <c r="A105" s="20"/>
      <c r="B105" s="20"/>
      <c r="C105" s="28"/>
      <c r="D105" s="28"/>
      <c r="E105" s="28"/>
      <c r="F105" s="28"/>
      <c r="G105" s="28"/>
      <c r="H105" s="28"/>
      <c r="I105" s="28"/>
      <c r="J105" s="28"/>
      <c r="K105" s="28"/>
      <c r="L105" s="28"/>
      <c r="M105" s="28"/>
      <c r="N105" s="28"/>
      <c r="O105" s="28"/>
      <c r="P105" s="28"/>
      <c r="Q105" s="28"/>
      <c r="R105" s="28"/>
      <c r="S105" s="28"/>
      <c r="T105" s="28"/>
      <c r="U105" s="28"/>
      <c r="V105" s="28"/>
      <c r="W105" s="28"/>
      <c r="X105" s="28"/>
    </row>
    <row r="106" customFormat="false" ht="12.75" hidden="false" customHeight="true" outlineLevel="0" collapsed="false"/>
    <row r="107" customFormat="false" ht="12.75" hidden="false" customHeight="false" outlineLevel="0" collapsed="false">
      <c r="H107" s="61"/>
      <c r="L107" s="62" t="s">
        <v>92</v>
      </c>
      <c r="O107" s="62"/>
      <c r="P107" s="61"/>
      <c r="Q107" s="62"/>
    </row>
    <row r="108" customFormat="false" ht="12.75" hidden="false" customHeight="true" outlineLevel="0" collapsed="false">
      <c r="G108" s="63"/>
      <c r="H108" s="63"/>
      <c r="L108" s="62" t="s">
        <v>93</v>
      </c>
      <c r="P108" s="63"/>
      <c r="S108" s="64" t="n">
        <f aca="false">T38</f>
        <v>0.2642</v>
      </c>
    </row>
    <row r="109" customFormat="false" ht="12.75" hidden="false" customHeight="false" outlineLevel="0" collapsed="false">
      <c r="G109" s="63"/>
      <c r="H109" s="63"/>
      <c r="L109" s="62" t="s">
        <v>94</v>
      </c>
      <c r="P109" s="63"/>
      <c r="S109" s="64" t="str">
        <f aca="false">U38</f>
        <v/>
      </c>
    </row>
    <row r="110" customFormat="false" ht="12.75" hidden="false" customHeight="true" outlineLevel="0" collapsed="false">
      <c r="G110" s="63"/>
      <c r="H110" s="63"/>
      <c r="L110" s="62" t="s">
        <v>95</v>
      </c>
      <c r="P110" s="63"/>
      <c r="S110" s="64" t="str">
        <f aca="false">V38</f>
        <v/>
      </c>
    </row>
    <row r="111" customFormat="false" ht="12.75" hidden="false" customHeight="false" outlineLevel="0" collapsed="false">
      <c r="G111" s="63"/>
      <c r="H111" s="63"/>
      <c r="L111" s="62" t="s">
        <v>96</v>
      </c>
      <c r="P111" s="63"/>
      <c r="S111" s="64" t="str">
        <f aca="false">W38</f>
        <v/>
      </c>
    </row>
    <row r="112" customFormat="false" ht="12.75" hidden="false" customHeight="true" outlineLevel="0" collapsed="false">
      <c r="G112" s="63"/>
      <c r="H112" s="63"/>
      <c r="L112" s="62" t="s">
        <v>97</v>
      </c>
      <c r="P112" s="63"/>
      <c r="S112" s="64" t="str">
        <f aca="false">X38</f>
        <v/>
      </c>
    </row>
    <row r="113" customFormat="false" ht="12.75" hidden="false" customHeight="false" outlineLevel="0" collapsed="false">
      <c r="H113" s="61"/>
      <c r="L113" s="62" t="s">
        <v>98</v>
      </c>
    </row>
    <row r="114" customFormat="false" ht="12.75" hidden="false" customHeight="true" outlineLevel="0" collapsed="false">
      <c r="H114" s="61"/>
      <c r="L114" s="62" t="s">
        <v>99</v>
      </c>
    </row>
    <row r="115" customFormat="false" ht="12.75" hidden="false" customHeight="false" outlineLevel="0" collapsed="false">
      <c r="H115" s="61"/>
      <c r="L115" s="62" t="s">
        <v>100</v>
      </c>
      <c r="P115" s="2" t="s">
        <v>101</v>
      </c>
    </row>
    <row r="116" customFormat="false" ht="12.75" hidden="false" customHeight="false" outlineLevel="0" collapsed="false">
      <c r="H116" s="61"/>
      <c r="L116" s="62" t="s">
        <v>102</v>
      </c>
      <c r="P116" s="2" t="s">
        <v>103</v>
      </c>
    </row>
    <row r="117" customFormat="false" ht="12.75" hidden="false" customHeight="false" outlineLevel="0" collapsed="false">
      <c r="L117" s="62" t="s">
        <v>104</v>
      </c>
      <c r="P117" s="2" t="s">
        <v>105</v>
      </c>
    </row>
    <row r="118" customFormat="false" ht="12.75" hidden="false" customHeight="false" outlineLevel="0" collapsed="false">
      <c r="L118" s="62" t="s">
        <v>106</v>
      </c>
      <c r="P118" s="2" t="s">
        <v>107</v>
      </c>
    </row>
    <row r="119" customFormat="false" ht="12.75" hidden="false" customHeight="false" outlineLevel="0" collapsed="false">
      <c r="L119" s="62" t="s">
        <v>108</v>
      </c>
      <c r="P119" s="2" t="s">
        <v>109</v>
      </c>
    </row>
    <row r="120" customFormat="false" ht="12.75" hidden="false" customHeight="false" outlineLevel="0" collapsed="false">
      <c r="L120" s="62" t="s">
        <v>110</v>
      </c>
      <c r="P120" s="2" t="s">
        <v>111</v>
      </c>
    </row>
    <row r="121" customFormat="false" ht="12.75" hidden="false" customHeight="false" outlineLevel="0" collapsed="false">
      <c r="L121" s="62" t="s">
        <v>112</v>
      </c>
    </row>
    <row r="122" customFormat="false" ht="12.75" hidden="false" customHeight="false" outlineLevel="0" collapsed="false">
      <c r="L122" s="62" t="s">
        <v>113</v>
      </c>
      <c r="P122" s="65" t="s">
        <v>114</v>
      </c>
    </row>
    <row r="123" customFormat="false" ht="12.75" hidden="false" customHeight="false" outlineLevel="0" collapsed="false">
      <c r="L123" s="62" t="s">
        <v>115</v>
      </c>
      <c r="P123" s="65" t="s">
        <v>116</v>
      </c>
    </row>
    <row r="124" customFormat="false" ht="12.75" hidden="false" customHeight="false" outlineLevel="0" collapsed="false">
      <c r="L124" s="62" t="s">
        <v>117</v>
      </c>
    </row>
    <row r="125" customFormat="false" ht="12.75" hidden="false" customHeight="false" outlineLevel="0" collapsed="false">
      <c r="L125" s="62" t="s">
        <v>118</v>
      </c>
    </row>
    <row r="126" customFormat="false" ht="12.75" hidden="false" customHeight="false" outlineLevel="0" collapsed="false">
      <c r="L126" s="62" t="s">
        <v>119</v>
      </c>
    </row>
    <row r="127" customFormat="false" ht="12.75" hidden="false" customHeight="false" outlineLevel="0" collapsed="false">
      <c r="L127" s="62" t="s">
        <v>120</v>
      </c>
    </row>
    <row r="128" customFormat="false" ht="12.75" hidden="false" customHeight="false" outlineLevel="0" collapsed="false">
      <c r="L128" s="62" t="s">
        <v>121</v>
      </c>
    </row>
    <row r="129" customFormat="false" ht="12.75" hidden="false" customHeight="false" outlineLevel="0" collapsed="false">
      <c r="L129" s="62" t="s">
        <v>122</v>
      </c>
    </row>
    <row r="130" customFormat="false" ht="12.75" hidden="false" customHeight="false" outlineLevel="0" collapsed="false">
      <c r="L130" s="62" t="s">
        <v>123</v>
      </c>
    </row>
    <row r="131" customFormat="false" ht="12.75" hidden="false" customHeight="false" outlineLevel="0" collapsed="false">
      <c r="L131" s="62" t="s">
        <v>124</v>
      </c>
    </row>
    <row r="132" customFormat="false" ht="12.75" hidden="false" customHeight="false" outlineLevel="0" collapsed="false">
      <c r="L132" s="62" t="s">
        <v>40</v>
      </c>
    </row>
    <row r="133" customFormat="false" ht="12.75" hidden="false" customHeight="false" outlineLevel="0" collapsed="false">
      <c r="L133" s="62" t="s">
        <v>125</v>
      </c>
    </row>
    <row r="134" customFormat="false" ht="12.75" hidden="false" customHeight="false" outlineLevel="0" collapsed="false">
      <c r="L134" s="62" t="s">
        <v>126</v>
      </c>
    </row>
    <row r="219" customFormat="false" ht="12.75" hidden="false" customHeight="true" outlineLevel="0" collapsed="false"/>
    <row r="220" customFormat="false" ht="12.75" hidden="false" customHeight="true" outlineLevel="0" collapsed="false">
      <c r="A220" s="66" t="str">
        <f aca="false">A28</f>
        <v>Nº OPERAÇÃO</v>
      </c>
      <c r="B220" s="66"/>
      <c r="C220" s="66" t="str">
        <f aca="false">C28</f>
        <v>GESTOR</v>
      </c>
      <c r="D220" s="66"/>
      <c r="E220" s="66"/>
      <c r="F220" s="66" t="str">
        <f aca="false">F28</f>
        <v>PROGRAMA</v>
      </c>
      <c r="G220" s="66"/>
      <c r="H220" s="66"/>
      <c r="I220" s="66"/>
      <c r="J220" s="66" t="str">
        <f aca="false">J28</f>
        <v>AÇÃO / MODALIDADE</v>
      </c>
      <c r="K220" s="66"/>
      <c r="L220" s="66"/>
      <c r="M220" s="66"/>
      <c r="N220" s="66"/>
      <c r="O220" s="66"/>
      <c r="P220" s="66" t="str">
        <f aca="false">P28</f>
        <v>OBJETO</v>
      </c>
      <c r="Q220" s="66"/>
      <c r="R220" s="66"/>
      <c r="S220" s="66"/>
      <c r="T220" s="66"/>
      <c r="U220" s="66"/>
      <c r="V220" s="66"/>
      <c r="W220" s="66"/>
      <c r="X220" s="66"/>
    </row>
    <row r="221" customFormat="false" ht="12.75" hidden="false" customHeight="true" outlineLevel="0" collapsed="false">
      <c r="A221" s="67" t="str">
        <f aca="false">IF(A29="","",A29)</f>
        <v>1006-618-30/2013</v>
      </c>
      <c r="B221" s="67"/>
      <c r="C221" s="67" t="str">
        <f aca="false">IF(C29="","",C29)</f>
        <v>Ministerio das Cidades</v>
      </c>
      <c r="D221" s="67"/>
      <c r="E221" s="67"/>
      <c r="F221" s="67" t="str">
        <f aca="false">IF(F29="","",F29)</f>
        <v>ESPORTES E GRANDES EVENTOS ESPORTIVOS - IMPLANTAÇÃO E MODERNIZAÇÃO DE INFRAESTRUTURA ESPORTIVA</v>
      </c>
      <c r="G221" s="67"/>
      <c r="H221" s="67"/>
      <c r="I221" s="67"/>
      <c r="J221" s="67" t="str">
        <f aca="false">IF(J29="","",J29)</f>
        <v/>
      </c>
      <c r="K221" s="67"/>
      <c r="L221" s="67" t="e">
        <f aca="false">IF(#REF!="","",#REF!)</f>
        <v>#REF!</v>
      </c>
      <c r="M221" s="67"/>
      <c r="N221" s="67" t="e">
        <f aca="false">IF(#REF!="","",#REF!)</f>
        <v>#REF!</v>
      </c>
      <c r="O221" s="67"/>
      <c r="P221" s="67" t="str">
        <f aca="false">IF(P29="","",P29)</f>
        <v>COBERTURA E AQUECIMENTO SOLAR DA PISCINA SEMI-OLÍMPICA</v>
      </c>
      <c r="Q221" s="67"/>
      <c r="R221" s="67"/>
      <c r="S221" s="67"/>
      <c r="T221" s="67"/>
      <c r="U221" s="67"/>
      <c r="V221" s="67"/>
      <c r="W221" s="67"/>
      <c r="X221" s="67"/>
    </row>
    <row r="222" customFormat="false" ht="6" hidden="false" customHeight="true" outlineLevel="0" collapsed="false">
      <c r="A222" s="52"/>
      <c r="B222" s="52"/>
      <c r="C222" s="52"/>
      <c r="D222" s="52"/>
      <c r="E222" s="52"/>
      <c r="F222" s="52"/>
      <c r="G222" s="52"/>
      <c r="H222" s="52"/>
      <c r="I222" s="52"/>
      <c r="J222" s="52"/>
      <c r="K222" s="52"/>
      <c r="L222" s="52"/>
      <c r="M222" s="52"/>
      <c r="N222" s="52"/>
      <c r="O222" s="52"/>
      <c r="P222" s="52"/>
      <c r="Q222" s="52"/>
      <c r="R222" s="52"/>
      <c r="S222" s="52"/>
      <c r="T222" s="52"/>
      <c r="U222" s="52"/>
      <c r="V222" s="52"/>
      <c r="W222" s="8"/>
      <c r="X222" s="8"/>
    </row>
    <row r="223" customFormat="false" ht="12.75" hidden="false" customHeight="false" outlineLevel="0" collapsed="false">
      <c r="A223" s="68" t="str">
        <f aca="false">A31</f>
        <v>PROPONENTE / TOMADOR</v>
      </c>
      <c r="B223" s="68"/>
      <c r="C223" s="68"/>
      <c r="D223" s="68"/>
      <c r="E223" s="68"/>
      <c r="F223" s="68"/>
      <c r="G223" s="66" t="str">
        <f aca="false">G31</f>
        <v>MUNICÍPIO / UF</v>
      </c>
      <c r="H223" s="66"/>
      <c r="I223" s="66"/>
      <c r="J223" s="66"/>
      <c r="K223" s="66" t="str">
        <f aca="false">K31</f>
        <v>LOCALIDADE / ENDEREÇO</v>
      </c>
      <c r="L223" s="66"/>
      <c r="M223" s="66"/>
      <c r="N223" s="66"/>
      <c r="O223" s="66"/>
      <c r="P223" s="66"/>
      <c r="Q223" s="66" t="str">
        <f aca="false">Q31</f>
        <v>APELIDO DO EMPREENDIMENTO</v>
      </c>
      <c r="R223" s="66"/>
      <c r="S223" s="66"/>
      <c r="T223" s="66"/>
      <c r="U223" s="66"/>
      <c r="V223" s="66"/>
      <c r="W223" s="66"/>
      <c r="X223" s="66"/>
    </row>
    <row r="224" customFormat="false" ht="12.75" hidden="false" customHeight="true" outlineLevel="0" collapsed="false">
      <c r="A224" s="69" t="str">
        <f aca="false">IF(A32="","",A32)</f>
        <v>PREFEITURA MUNICIPAL DE PARAGAUÇU PAULISTA</v>
      </c>
      <c r="B224" s="69"/>
      <c r="C224" s="69"/>
      <c r="D224" s="69"/>
      <c r="E224" s="69"/>
      <c r="F224" s="69"/>
      <c r="G224" s="67" t="str">
        <f aca="false">IF(G32="","",G32)</f>
        <v>PARAGUAÇU PAULISTA</v>
      </c>
      <c r="H224" s="67" t="str">
        <f aca="false">IF(I32="","",I32)</f>
        <v/>
      </c>
      <c r="I224" s="67"/>
      <c r="J224" s="67" t="e">
        <f aca="false">IF(#REF!="","",#REF!)</f>
        <v>#REF!</v>
      </c>
      <c r="K224" s="67" t="str">
        <f aca="false">IF(K32="","",K32)</f>
        <v>RUA BARÃO DO RIO BRANCO COM RUA MARIA PAULA GAMBIER COSTA</v>
      </c>
      <c r="L224" s="67"/>
      <c r="M224" s="67"/>
      <c r="N224" s="67"/>
      <c r="O224" s="67"/>
      <c r="P224" s="67"/>
      <c r="Q224" s="67" t="str">
        <f aca="false">IF(Q32="","",Q32)</f>
        <v/>
      </c>
      <c r="R224" s="67"/>
      <c r="S224" s="67"/>
      <c r="T224" s="67"/>
      <c r="U224" s="67"/>
      <c r="V224" s="67"/>
      <c r="W224" s="67"/>
      <c r="X224" s="67"/>
    </row>
    <row r="225" customFormat="false" ht="6" hidden="false" customHeight="true" outlineLevel="0" collapsed="false">
      <c r="A225" s="52"/>
      <c r="B225" s="52"/>
      <c r="C225" s="52"/>
      <c r="D225" s="52"/>
      <c r="E225" s="52"/>
      <c r="F225" s="52"/>
      <c r="G225" s="52"/>
      <c r="H225" s="52"/>
      <c r="I225" s="52"/>
      <c r="J225" s="52"/>
      <c r="K225" s="52"/>
      <c r="L225" s="52"/>
      <c r="M225" s="52"/>
      <c r="N225" s="52"/>
      <c r="O225" s="52"/>
      <c r="P225" s="52"/>
      <c r="Q225" s="52"/>
      <c r="R225" s="52"/>
      <c r="S225" s="52"/>
      <c r="T225" s="52"/>
      <c r="U225" s="52"/>
      <c r="V225" s="52"/>
      <c r="W225" s="8"/>
      <c r="X225" s="8"/>
    </row>
    <row r="226" customFormat="false" ht="12.75" hidden="false" customHeight="false" outlineLevel="0" collapsed="false">
      <c r="A226" s="66" t="str">
        <f aca="false">A37</f>
        <v>DATA BASE</v>
      </c>
      <c r="B226" s="66"/>
      <c r="C226" s="70" t="str">
        <f aca="false">C37</f>
        <v>DESON.</v>
      </c>
      <c r="D226" s="66" t="str">
        <f aca="false">D37</f>
        <v>LOCALIDADE DO SINAPI</v>
      </c>
      <c r="E226" s="66"/>
      <c r="F226" s="66"/>
      <c r="G226" s="66" t="str">
        <f aca="false">G37</f>
        <v>DESCRIÇÃO DO LOTE</v>
      </c>
      <c r="H226" s="66"/>
      <c r="I226" s="66"/>
      <c r="J226" s="66"/>
      <c r="K226" s="66"/>
      <c r="L226" s="66"/>
      <c r="M226" s="66"/>
      <c r="N226" s="66"/>
      <c r="O226" s="66"/>
      <c r="P226" s="66"/>
      <c r="Q226" s="66"/>
      <c r="R226" s="66"/>
      <c r="S226" s="66"/>
      <c r="T226" s="71" t="str">
        <f aca="false">T37</f>
        <v>BDI 1</v>
      </c>
      <c r="U226" s="71" t="str">
        <f aca="false">U37</f>
        <v>BDI 2</v>
      </c>
      <c r="V226" s="71" t="str">
        <f aca="false">V37</f>
        <v>BDI 3</v>
      </c>
      <c r="W226" s="71" t="str">
        <f aca="false">W37</f>
        <v>BDI 4</v>
      </c>
      <c r="X226" s="71" t="str">
        <f aca="false">X37</f>
        <v>BDI 5</v>
      </c>
    </row>
    <row r="227" customFormat="false" ht="12.75" hidden="false" customHeight="true" outlineLevel="0" collapsed="false">
      <c r="A227" s="72" t="n">
        <f aca="false">IF(A38="","",A38)</f>
        <v>43374</v>
      </c>
      <c r="B227" s="72"/>
      <c r="C227" s="73" t="str">
        <f aca="false">IF(C38="","",C38)</f>
        <v>Sim</v>
      </c>
      <c r="D227" s="74" t="str">
        <f aca="false">IF(D38="","",D38)</f>
        <v>São Paulo / SP</v>
      </c>
      <c r="E227" s="74" t="str">
        <f aca="false">IF(E38="","",E38)</f>
        <v/>
      </c>
      <c r="F227" s="74" t="str">
        <f aca="false">IF(F38="","",F38)</f>
        <v/>
      </c>
      <c r="G227" s="74" t="str">
        <f aca="false">IF(G38="","",G38)</f>
        <v/>
      </c>
      <c r="H227" s="74" t="str">
        <f aca="false">IF(H38="","",H38)</f>
        <v/>
      </c>
      <c r="I227" s="74" t="str">
        <f aca="false">IF(I38="","",I38)</f>
        <v/>
      </c>
      <c r="J227" s="74" t="str">
        <f aca="false">IF(J38="","",J38)</f>
        <v/>
      </c>
      <c r="K227" s="74" t="str">
        <f aca="false">IF(K38="","",K38)</f>
        <v/>
      </c>
      <c r="L227" s="74" t="str">
        <f aca="false">IF(L38="","",L38)</f>
        <v/>
      </c>
      <c r="M227" s="74" t="str">
        <f aca="false">IF(M38="","",M38)</f>
        <v/>
      </c>
      <c r="N227" s="74" t="str">
        <f aca="false">IF(N38="","",N38)</f>
        <v/>
      </c>
      <c r="O227" s="74" t="str">
        <f aca="false">IF(O38="","",O38)</f>
        <v/>
      </c>
      <c r="P227" s="74" t="str">
        <f aca="false">IF(P38="","",P38)</f>
        <v/>
      </c>
      <c r="Q227" s="74" t="str">
        <f aca="false">IF(Q38="","",Q38)</f>
        <v/>
      </c>
      <c r="R227" s="74" t="str">
        <f aca="false">IF(R38="","",R38)</f>
        <v/>
      </c>
      <c r="S227" s="74" t="str">
        <f aca="false">IF(S38="","",S38)</f>
        <v/>
      </c>
      <c r="T227" s="75" t="n">
        <f aca="false">IF(T38="","",T38)</f>
        <v>0.2642</v>
      </c>
      <c r="U227" s="34" t="str">
        <f aca="false">IF(U38="","",U38)</f>
        <v/>
      </c>
      <c r="V227" s="34" t="str">
        <f aca="false">IF(V38="","",V38)</f>
        <v/>
      </c>
      <c r="W227" s="34" t="str">
        <f aca="false">IF(W38="","",W38)</f>
        <v/>
      </c>
      <c r="X227" s="34" t="str">
        <f aca="false">IF(X38="","",X38)</f>
        <v/>
      </c>
    </row>
    <row r="228" customFormat="false" ht="6" hidden="true" customHeight="true" outlineLevel="0" collapsed="false">
      <c r="A228" s="52"/>
      <c r="B228" s="52"/>
      <c r="C228" s="52"/>
      <c r="D228" s="52"/>
      <c r="E228" s="52"/>
      <c r="F228" s="52"/>
      <c r="G228" s="52"/>
      <c r="H228" s="52"/>
      <c r="I228" s="52"/>
      <c r="J228" s="52"/>
      <c r="K228" s="52"/>
      <c r="L228" s="52"/>
      <c r="M228" s="52"/>
      <c r="N228" s="52"/>
      <c r="O228" s="52"/>
      <c r="P228" s="52"/>
      <c r="Q228" s="52"/>
      <c r="R228" s="52"/>
      <c r="S228" s="52"/>
      <c r="T228" s="52"/>
      <c r="U228" s="52"/>
      <c r="V228" s="52"/>
      <c r="W228" s="8"/>
      <c r="X228" s="8"/>
    </row>
    <row r="229" customFormat="false" ht="12.75" hidden="true" customHeight="true" outlineLevel="0" collapsed="false">
      <c r="A229" s="66" t="s">
        <v>42</v>
      </c>
      <c r="B229" s="66"/>
      <c r="C229" s="68" t="s">
        <v>127</v>
      </c>
      <c r="D229" s="68"/>
      <c r="E229" s="68"/>
      <c r="F229" s="68"/>
      <c r="G229" s="68"/>
      <c r="H229" s="68" t="s">
        <v>30</v>
      </c>
      <c r="I229" s="68"/>
      <c r="J229" s="68" t="s">
        <v>31</v>
      </c>
      <c r="K229" s="66" t="s">
        <v>44</v>
      </c>
      <c r="L229" s="66"/>
      <c r="M229" s="66"/>
      <c r="N229" s="68" t="s">
        <v>45</v>
      </c>
      <c r="O229" s="66" t="s">
        <v>46</v>
      </c>
      <c r="P229" s="66"/>
      <c r="Q229" s="66"/>
      <c r="R229" s="66"/>
      <c r="S229" s="66"/>
      <c r="T229" s="66"/>
      <c r="U229" s="76" t="s">
        <v>47</v>
      </c>
      <c r="V229" s="76"/>
      <c r="W229" s="76" t="s">
        <v>48</v>
      </c>
      <c r="X229" s="76"/>
    </row>
    <row r="230" s="8" customFormat="true" ht="12.75" hidden="true" customHeight="true" outlineLevel="0" collapsed="false">
      <c r="A230" s="74" t="str">
        <f aca="false">IF(A43="","",A43)</f>
        <v/>
      </c>
      <c r="B230" s="74"/>
      <c r="C230" s="77" t="str">
        <f aca="false">IF(C43="","",C43)</f>
        <v/>
      </c>
      <c r="D230" s="77"/>
      <c r="E230" s="77" t="str">
        <f aca="false">IF(E43="","",E43)</f>
        <v/>
      </c>
      <c r="F230" s="77"/>
      <c r="G230" s="77" t="str">
        <f aca="false">IF(G43="","",G43)</f>
        <v/>
      </c>
      <c r="H230" s="78" t="str">
        <f aca="false">IF(H43="","",H43)</f>
        <v/>
      </c>
      <c r="I230" s="78" t="str">
        <f aca="false">IF(I43="","",I43)</f>
        <v/>
      </c>
      <c r="J230" s="77" t="str">
        <f aca="false">IF(J43="","",J43)</f>
        <v/>
      </c>
      <c r="K230" s="79" t="str">
        <f aca="false">IF(K43="","",K43)</f>
        <v/>
      </c>
      <c r="L230" s="79"/>
      <c r="M230" s="79" t="str">
        <f aca="false">IF(M43="","",M43)</f>
        <v/>
      </c>
      <c r="N230" s="80" t="str">
        <f aca="false">IF(N43="","",N43)</f>
        <v/>
      </c>
      <c r="O230" s="79" t="str">
        <f aca="false">IF(O43="","",O43)</f>
        <v/>
      </c>
      <c r="P230" s="79"/>
      <c r="Q230" s="79" t="str">
        <f aca="false">IF(Q43="","",Q43)</f>
        <v/>
      </c>
      <c r="R230" s="79"/>
      <c r="S230" s="79" t="str">
        <f aca="false">IF(S43="","",S43)</f>
        <v/>
      </c>
      <c r="T230" s="79"/>
      <c r="U230" s="81" t="str">
        <f aca="false">IF(U43="","",U43)</f>
        <v/>
      </c>
      <c r="V230" s="81"/>
      <c r="W230" s="81" t="str">
        <f aca="false">IF(W43="","",W43)</f>
        <v/>
      </c>
      <c r="X230" s="81"/>
    </row>
    <row r="232" customFormat="false" ht="6" hidden="false" customHeight="true" outlineLevel="0" collapsed="false"/>
    <row r="236" customFormat="false" ht="12.75" hidden="true" customHeight="true" outlineLevel="0" collapsed="false"/>
    <row r="237" customFormat="false" ht="6" hidden="true" customHeight="true" outlineLevel="0" collapsed="false"/>
    <row r="238" customFormat="false" ht="12.75" hidden="true" customHeight="true" outlineLevel="0" collapsed="false"/>
    <row r="239" customFormat="false" ht="12.75" hidden="true" customHeight="true" outlineLevel="0" collapsed="false"/>
    <row r="240" customFormat="false" ht="6" hidden="true" customHeight="true" outlineLevel="0" collapsed="false"/>
    <row r="241" customFormat="false" ht="12.75" hidden="true" customHeight="true" outlineLevel="0" collapsed="false"/>
    <row r="242" customFormat="false" ht="12.75" hidden="true" customHeight="true" outlineLevel="0" collapsed="false"/>
    <row r="243" customFormat="false" ht="12.75" hidden="true" customHeight="true" outlineLevel="0" collapsed="false"/>
    <row r="244" customFormat="false" ht="12.75" hidden="false" customHeight="true" outlineLevel="0" collapsed="false"/>
    <row r="245" customFormat="false" ht="6" hidden="false" customHeight="true" outlineLevel="0" collapsed="false"/>
    <row r="246" customFormat="false" ht="12.75" hidden="false" customHeight="true" outlineLevel="0" collapsed="false"/>
    <row r="250" customFormat="false" ht="6" hidden="false" customHeight="true" outlineLevel="0" collapsed="false"/>
  </sheetData>
  <sheetProtection sheet="true" password="c95b" objects="true" scenarios="true"/>
  <mergeCells count="136">
    <mergeCell ref="B1:X2"/>
    <mergeCell ref="A4:X4"/>
    <mergeCell ref="A6:X6"/>
    <mergeCell ref="A8:X8"/>
    <mergeCell ref="A10:X10"/>
    <mergeCell ref="A12:X12"/>
    <mergeCell ref="A14:X14"/>
    <mergeCell ref="A16:X16"/>
    <mergeCell ref="A18:X18"/>
    <mergeCell ref="A22:I22"/>
    <mergeCell ref="A24:X24"/>
    <mergeCell ref="A26:X26"/>
    <mergeCell ref="A28:B28"/>
    <mergeCell ref="C28:E28"/>
    <mergeCell ref="F28:I28"/>
    <mergeCell ref="J28:O28"/>
    <mergeCell ref="P28:X28"/>
    <mergeCell ref="A29:B29"/>
    <mergeCell ref="C29:E29"/>
    <mergeCell ref="F29:I29"/>
    <mergeCell ref="J29:O29"/>
    <mergeCell ref="P29:X29"/>
    <mergeCell ref="A31:F31"/>
    <mergeCell ref="G31:J31"/>
    <mergeCell ref="K31:P31"/>
    <mergeCell ref="Q31:X31"/>
    <mergeCell ref="A32:F32"/>
    <mergeCell ref="G32:J32"/>
    <mergeCell ref="K32:P32"/>
    <mergeCell ref="Q32:X32"/>
    <mergeCell ref="A35:X35"/>
    <mergeCell ref="A37:B37"/>
    <mergeCell ref="D37:F37"/>
    <mergeCell ref="G37:S37"/>
    <mergeCell ref="A38:B38"/>
    <mergeCell ref="D38:F38"/>
    <mergeCell ref="G38:S38"/>
    <mergeCell ref="A40:X40"/>
    <mergeCell ref="A42:B42"/>
    <mergeCell ref="C42:G42"/>
    <mergeCell ref="H42:I42"/>
    <mergeCell ref="K42:M42"/>
    <mergeCell ref="O42:T42"/>
    <mergeCell ref="U42:V42"/>
    <mergeCell ref="W42:X42"/>
    <mergeCell ref="A43:B43"/>
    <mergeCell ref="C43:G43"/>
    <mergeCell ref="H43:I43"/>
    <mergeCell ref="K43:M43"/>
    <mergeCell ref="O43:T43"/>
    <mergeCell ref="U43:V43"/>
    <mergeCell ref="W43:X43"/>
    <mergeCell ref="A45:X45"/>
    <mergeCell ref="A48:C48"/>
    <mergeCell ref="A50:X50"/>
    <mergeCell ref="B54:E54"/>
    <mergeCell ref="H54:K54"/>
    <mergeCell ref="B55:E55"/>
    <mergeCell ref="H55:K55"/>
    <mergeCell ref="B56:E56"/>
    <mergeCell ref="H56:K56"/>
    <mergeCell ref="B57:E57"/>
    <mergeCell ref="H57:K57"/>
    <mergeCell ref="A60:X60"/>
    <mergeCell ref="A62:X62"/>
    <mergeCell ref="A63:X63"/>
    <mergeCell ref="A65:X65"/>
    <mergeCell ref="A67:X67"/>
    <mergeCell ref="A68:X68"/>
    <mergeCell ref="A69:X69"/>
    <mergeCell ref="A70:X70"/>
    <mergeCell ref="A71:X71"/>
    <mergeCell ref="A72:X72"/>
    <mergeCell ref="A74:X74"/>
    <mergeCell ref="A76:X76"/>
    <mergeCell ref="A77:X77"/>
    <mergeCell ref="A78:X78"/>
    <mergeCell ref="A79:X79"/>
    <mergeCell ref="A80:X80"/>
    <mergeCell ref="A81:X81"/>
    <mergeCell ref="A82:X82"/>
    <mergeCell ref="A83:X83"/>
    <mergeCell ref="A84:X84"/>
    <mergeCell ref="A85:X85"/>
    <mergeCell ref="A86:X86"/>
    <mergeCell ref="A87:X87"/>
    <mergeCell ref="A88:X88"/>
    <mergeCell ref="A90:X90"/>
    <mergeCell ref="A92:X92"/>
    <mergeCell ref="A93:X93"/>
    <mergeCell ref="A94:X94"/>
    <mergeCell ref="A95:X95"/>
    <mergeCell ref="A96:X96"/>
    <mergeCell ref="A97:X97"/>
    <mergeCell ref="A98:X98"/>
    <mergeCell ref="A99:X99"/>
    <mergeCell ref="A100:X100"/>
    <mergeCell ref="A101:X101"/>
    <mergeCell ref="A220:B220"/>
    <mergeCell ref="C220:E220"/>
    <mergeCell ref="F220:I220"/>
    <mergeCell ref="J220:O220"/>
    <mergeCell ref="P220:X220"/>
    <mergeCell ref="A221:B221"/>
    <mergeCell ref="C221:E221"/>
    <mergeCell ref="F221:I221"/>
    <mergeCell ref="J221:O221"/>
    <mergeCell ref="P221:X221"/>
    <mergeCell ref="A223:F223"/>
    <mergeCell ref="G223:J223"/>
    <mergeCell ref="K223:P223"/>
    <mergeCell ref="Q223:X223"/>
    <mergeCell ref="A224:F224"/>
    <mergeCell ref="G224:J224"/>
    <mergeCell ref="K224:P224"/>
    <mergeCell ref="Q224:X224"/>
    <mergeCell ref="A226:B226"/>
    <mergeCell ref="D226:F226"/>
    <mergeCell ref="G226:S226"/>
    <mergeCell ref="A227:B227"/>
    <mergeCell ref="D227:F227"/>
    <mergeCell ref="G227:S227"/>
    <mergeCell ref="A229:B229"/>
    <mergeCell ref="C229:G229"/>
    <mergeCell ref="H229:I229"/>
    <mergeCell ref="K229:M229"/>
    <mergeCell ref="O229:T229"/>
    <mergeCell ref="U229:V229"/>
    <mergeCell ref="W229:X229"/>
    <mergeCell ref="A230:B230"/>
    <mergeCell ref="C230:G230"/>
    <mergeCell ref="H230:I230"/>
    <mergeCell ref="K230:M230"/>
    <mergeCell ref="O230:T230"/>
    <mergeCell ref="U230:V230"/>
    <mergeCell ref="W230:X230"/>
  </mergeCells>
  <conditionalFormatting sqref="B54:E55 B56 B57:E57">
    <cfRule type="expression" priority="2" aboveAverage="0" equalAverage="0" bottom="0" percent="0" rank="0" text="" dxfId="0">
      <formula>$B54&lt;&gt;""</formula>
    </cfRule>
  </conditionalFormatting>
  <conditionalFormatting sqref="A48 H54:K54 H55:H56 H57:K57 A29:C29 J29 F29 A32 P29 G32 K32">
    <cfRule type="expression" priority="3" aboveAverage="0" equalAverage="0" bottom="0" percent="0" rank="0" text="" dxfId="1">
      <formula>A29&lt;&gt;""</formula>
    </cfRule>
  </conditionalFormatting>
  <conditionalFormatting sqref="G53:K54 G55:H56 G57:K57">
    <cfRule type="expression" priority="4" aboveAverage="0" equalAverage="0" bottom="0" percent="0" rank="0" text="" dxfId="2">
      <formula>$K$52&lt;&gt;"SIM"</formula>
    </cfRule>
  </conditionalFormatting>
  <conditionalFormatting sqref="A40:X43">
    <cfRule type="expression" priority="5" aboveAverage="0" equalAverage="0" bottom="0" percent="0" rank="0" text="" dxfId="3">
      <formula>OR(TipoOrçamento="BASE",TipoOrçamento="REPROGRAMADONPL")</formula>
    </cfRule>
    <cfRule type="expression" priority="6" aboveAverage="0" equalAverage="0" bottom="0" percent="0" rank="0" text="" dxfId="4">
      <formula>A40&lt;&gt;""</formula>
    </cfRule>
  </conditionalFormatting>
  <conditionalFormatting sqref="A35:X38">
    <cfRule type="expression" priority="7" aboveAverage="0" equalAverage="0" bottom="0" percent="0" rank="0" text="" dxfId="5">
      <formula>OR(TipoOrçamento="LICITADO",TipoOrçamento="REPROGRAMADOAC")</formula>
    </cfRule>
    <cfRule type="expression" priority="8" aboveAverage="0" equalAverage="0" bottom="0" percent="0" rank="0" text="" dxfId="6">
      <formula>A35&lt;&gt;""</formula>
    </cfRule>
  </conditionalFormatting>
  <conditionalFormatting sqref="Q32">
    <cfRule type="expression" priority="9" aboveAverage="0" equalAverage="0" bottom="0" percent="0" rank="0" text="" dxfId="7">
      <formula>Q32&lt;&gt;""</formula>
    </cfRule>
  </conditionalFormatting>
  <dataValidations count="7">
    <dataValidation allowBlank="true" operator="between" showDropDown="false" showErrorMessage="true" showInputMessage="true" sqref="C38 J43 C227" type="list">
      <formula1>"Sim,Não"</formula1>
      <formula2>0</formula2>
    </dataValidation>
    <dataValidation allowBlank="true" operator="between" showDropDown="false" showErrorMessage="true" showInputMessage="true" sqref="K52" type="list">
      <formula1>"SIM,NÃO"</formula1>
      <formula2>0</formula2>
    </dataValidation>
    <dataValidation allowBlank="true" operator="between" showDropDown="false" showErrorMessage="true" showInputMessage="true" sqref="D38:F38" type="list">
      <formula1>Dados.Lista.Localidade</formula1>
      <formula2>0</formula2>
    </dataValidation>
    <dataValidation allowBlank="true" operator="between" showDropDown="false" showErrorMessage="true" showInputMessage="true" sqref="K43:M43" type="list">
      <formula1>Dados.Lista.RegimeExecução</formula1>
      <formula2>0</formula2>
    </dataValidation>
    <dataValidation allowBlank="true" operator="between" showDropDown="false" showErrorMessage="true" showInputMessage="true" sqref="N43" type="list">
      <formula1>Dados.Lista.Acompanhamento</formula1>
      <formula2>0</formula2>
    </dataValidation>
    <dataValidation allowBlank="true" error="Digite somente datas." errorTitle="Erro de valor" operator="greaterThan" showDropDown="false" showErrorMessage="true" showInputMessage="true" sqref="A38:B38 H43:I43 A48:C48" type="date">
      <formula1>36526</formula1>
      <formula2>0</formula2>
    </dataValidation>
    <dataValidation allowBlank="true" operator="between" prompt="nº do Contrato de Repasse ou Termo de Compromisso, firmado com a CAIXA.&#10;Formato 0.000.000-00/0000." promptTitle="Nº OPERAÇÃO:" showDropDown="false" showErrorMessage="true" showInputMessage="true" sqref="A29:B29" type="none">
      <formula1>0</formula1>
      <formula2>0</formula2>
    </dataValidation>
  </dataValidations>
  <printOptions headings="false" gridLines="false" gridLinesSet="true" horizontalCentered="false" verticalCentered="false"/>
  <pageMargins left="0.7875" right="0.7875" top="0.7875" bottom="0.786805555555556" header="5.70833333333333" footer="0.59027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&amp;L_</oddHeader>
    <oddFooter>&amp;L27.476 v007   micro&amp;R&amp;P</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AE60"/>
  <sheetViews>
    <sheetView showFormulas="false" showGridLines="false" showRowColHeaders="true" showZeros="true" rightToLeft="false" tabSelected="true" showOutlineSymbols="true" defaultGridColor="true" view="normal" topLeftCell="I1" colorId="64" zoomScale="100" zoomScaleNormal="100" zoomScalePageLayoutView="100" workbookViewId="0">
      <selection pane="topLeft" activeCell="O1" activeCellId="0" sqref="O1"/>
    </sheetView>
  </sheetViews>
  <sheetFormatPr defaultRowHeight="12.75" zeroHeight="true" outlineLevelRow="0" outlineLevelCol="0"/>
  <cols>
    <col collapsed="false" customWidth="true" hidden="true" outlineLevel="0" max="1" min="1" style="82" width="30.28"/>
    <col collapsed="false" customWidth="true" hidden="true" outlineLevel="0" max="3" min="2" style="82" width="9.14"/>
    <col collapsed="false" customWidth="true" hidden="true" outlineLevel="0" max="4" min="4" style="82" width="23.57"/>
    <col collapsed="false" customWidth="true" hidden="true" outlineLevel="0" max="8" min="5" style="82" width="9.14"/>
    <col collapsed="false" customWidth="true" hidden="false" outlineLevel="0" max="14" min="9" style="82" width="10.71"/>
    <col collapsed="false" customWidth="true" hidden="false" outlineLevel="0" max="15" min="15" style="82" width="12.86"/>
    <col collapsed="false" customWidth="true" hidden="false" outlineLevel="0" max="18" min="16" style="82" width="10.71"/>
    <col collapsed="false" customWidth="true" hidden="false" outlineLevel="0" max="19" min="19" style="82" width="3.71"/>
    <col collapsed="false" customWidth="true" hidden="false" outlineLevel="0" max="20" min="20" style="82" width="29.57"/>
    <col collapsed="false" customWidth="true" hidden="false" outlineLevel="0" max="21" min="21" style="82" width="13.7"/>
    <col collapsed="false" customWidth="true" hidden="true" outlineLevel="0" max="1025" min="22" style="82" width="9.14"/>
  </cols>
  <sheetData>
    <row r="1" customFormat="false" ht="15" hidden="false" customHeight="true" outlineLevel="0" collapsed="false">
      <c r="E1" s="83" t="s">
        <v>128</v>
      </c>
      <c r="F1" s="83" t="s">
        <v>129</v>
      </c>
      <c r="G1" s="83" t="s">
        <v>130</v>
      </c>
      <c r="N1" s="84" t="e">
        <f aca="true">"Quadro de Composição do BDI "&amp;MID(CELL("nome.arquivo",N1),5+FIND("BDI (",CELL("nome.arquivo",N1)),1)</f>
        <v>#VALUE!</v>
      </c>
    </row>
    <row r="2" customFormat="false" ht="12.75" hidden="false" customHeight="false" outlineLevel="0" collapsed="false">
      <c r="A2" s="82" t="s">
        <v>131</v>
      </c>
      <c r="B2" s="85" t="s">
        <v>132</v>
      </c>
      <c r="C2" s="82" t="str">
        <f aca="false">CONCATENATE(A2,"-",B2)</f>
        <v>Construção e Reforma de Edifícios-AC</v>
      </c>
      <c r="E2" s="86" t="n">
        <v>0.03</v>
      </c>
      <c r="F2" s="86" t="n">
        <v>0.04</v>
      </c>
      <c r="G2" s="86" t="n">
        <v>0.055</v>
      </c>
    </row>
    <row r="3" customFormat="false" ht="12.75" hidden="false" customHeight="false" outlineLevel="0" collapsed="false">
      <c r="A3" s="82" t="str">
        <f aca="false">A2</f>
        <v>Construção e Reforma de Edifícios</v>
      </c>
      <c r="B3" s="85" t="s">
        <v>133</v>
      </c>
      <c r="C3" s="82" t="str">
        <f aca="false">CONCATENATE(A3,"-",B3)</f>
        <v>Construção e Reforma de Edifícios-SG</v>
      </c>
      <c r="E3" s="86" t="n">
        <v>0.008</v>
      </c>
      <c r="F3" s="86" t="n">
        <v>0.008</v>
      </c>
      <c r="G3" s="86" t="n">
        <v>0.01</v>
      </c>
    </row>
    <row r="4" customFormat="false" ht="12.75" hidden="false" customHeight="false" outlineLevel="0" collapsed="false">
      <c r="A4" s="82" t="str">
        <f aca="false">A3</f>
        <v>Construção e Reforma de Edifícios</v>
      </c>
      <c r="B4" s="85" t="s">
        <v>134</v>
      </c>
      <c r="C4" s="82" t="str">
        <f aca="false">CONCATENATE(A4,"-",B4)</f>
        <v>Construção e Reforma de Edifícios-R</v>
      </c>
      <c r="E4" s="86" t="n">
        <v>0.0097</v>
      </c>
      <c r="F4" s="86" t="n">
        <v>0.0127</v>
      </c>
      <c r="G4" s="86" t="n">
        <v>0.0127</v>
      </c>
      <c r="I4" s="22" t="s">
        <v>135</v>
      </c>
      <c r="J4" s="22"/>
      <c r="K4" s="22" t="s">
        <v>22</v>
      </c>
      <c r="L4" s="22"/>
      <c r="M4" s="22"/>
      <c r="N4" s="22"/>
      <c r="O4" s="22"/>
      <c r="P4" s="22"/>
      <c r="Q4" s="22"/>
      <c r="R4" s="22"/>
    </row>
    <row r="5" customFormat="false" ht="12.75" hidden="false" customHeight="true" outlineLevel="0" collapsed="false">
      <c r="A5" s="82" t="str">
        <f aca="false">A4</f>
        <v>Construção e Reforma de Edifícios</v>
      </c>
      <c r="B5" s="85" t="s">
        <v>136</v>
      </c>
      <c r="C5" s="82" t="str">
        <f aca="false">CONCATENATE(A5,"-",B5)</f>
        <v>Construção e Reforma de Edifícios-DF</v>
      </c>
      <c r="E5" s="86" t="n">
        <v>0.0059</v>
      </c>
      <c r="F5" s="86" t="n">
        <v>0.0123</v>
      </c>
      <c r="G5" s="86" t="n">
        <v>0.0139</v>
      </c>
      <c r="I5" s="87" t="str">
        <f aca="false">DADOS!A29</f>
        <v>1006-618-30/2013</v>
      </c>
      <c r="J5" s="87"/>
      <c r="K5" s="88" t="str">
        <f aca="false">DADOS!A32</f>
        <v>PREFEITURA MUNICIPAL DE PARAGAUÇU PAULISTA</v>
      </c>
      <c r="L5" s="88"/>
      <c r="M5" s="88"/>
      <c r="N5" s="88"/>
      <c r="O5" s="88"/>
      <c r="P5" s="88"/>
      <c r="Q5" s="88"/>
      <c r="R5" s="88"/>
      <c r="S5" s="89"/>
    </row>
    <row r="6" customFormat="false" ht="6" hidden="false" customHeight="true" outlineLevel="0" collapsed="false">
      <c r="A6" s="82" t="str">
        <f aca="false">A5</f>
        <v>Construção e Reforma de Edifícios</v>
      </c>
      <c r="B6" s="85" t="s">
        <v>137</v>
      </c>
      <c r="C6" s="82" t="str">
        <f aca="false">CONCATENATE(A6,"-",B6)</f>
        <v>Construção e Reforma de Edifícios-L</v>
      </c>
      <c r="E6" s="86" t="n">
        <v>0.0616</v>
      </c>
      <c r="F6" s="86" t="n">
        <v>0.074</v>
      </c>
      <c r="G6" s="86" t="n">
        <v>0.0896</v>
      </c>
      <c r="I6" s="90"/>
      <c r="J6" s="90"/>
      <c r="K6" s="90"/>
      <c r="L6" s="90"/>
      <c r="M6" s="90"/>
      <c r="N6" s="90"/>
      <c r="O6" s="90"/>
      <c r="P6" s="90"/>
      <c r="Q6" s="90"/>
      <c r="R6" s="90"/>
    </row>
    <row r="7" customFormat="false" ht="13.5" hidden="false" customHeight="true" outlineLevel="0" collapsed="false">
      <c r="A7" s="82" t="str">
        <f aca="false">A6</f>
        <v>Construção e Reforma de Edifícios</v>
      </c>
      <c r="B7" s="91" t="s">
        <v>138</v>
      </c>
      <c r="C7" s="82" t="str">
        <f aca="false">CONCATENATE(A7,"-",B7)</f>
        <v>Construção e Reforma de Edifícios-BDI PAD</v>
      </c>
      <c r="E7" s="86" t="n">
        <v>0.2034</v>
      </c>
      <c r="F7" s="86" t="n">
        <v>0.2212</v>
      </c>
      <c r="G7" s="86" t="n">
        <v>0.25</v>
      </c>
      <c r="I7" s="22" t="s">
        <v>17</v>
      </c>
      <c r="J7" s="22"/>
      <c r="K7" s="22"/>
      <c r="L7" s="22"/>
      <c r="M7" s="22"/>
      <c r="N7" s="22"/>
      <c r="O7" s="22"/>
      <c r="P7" s="22"/>
      <c r="Q7" s="22"/>
      <c r="R7" s="22"/>
    </row>
    <row r="8" customFormat="false" ht="24.75" hidden="false" customHeight="true" outlineLevel="0" collapsed="false">
      <c r="A8" s="82" t="s">
        <v>139</v>
      </c>
      <c r="B8" s="85" t="s">
        <v>132</v>
      </c>
      <c r="C8" s="82" t="str">
        <f aca="false">CONCATENATE(A8,"-",B8)</f>
        <v>Construção de Praças Urbanas, Rodovias, Ferrovias e recapeamento e pavimentação de vias urbanas-AC</v>
      </c>
      <c r="E8" s="86" t="n">
        <v>0.038</v>
      </c>
      <c r="F8" s="86" t="n">
        <v>0.0401</v>
      </c>
      <c r="G8" s="86" t="n">
        <v>0.0467</v>
      </c>
      <c r="I8" s="92" t="str">
        <f aca="false">DADOS!P29</f>
        <v>COBERTURA E AQUECIMENTO SOLAR DA PISCINA SEMI-OLÍMPICA</v>
      </c>
      <c r="J8" s="92"/>
      <c r="K8" s="92"/>
      <c r="L8" s="92"/>
      <c r="M8" s="92"/>
      <c r="N8" s="92"/>
      <c r="O8" s="92"/>
      <c r="P8" s="92"/>
      <c r="Q8" s="92"/>
      <c r="R8" s="92"/>
    </row>
    <row r="9" customFormat="false" ht="6" hidden="false" customHeight="true" outlineLevel="0" collapsed="false">
      <c r="A9" s="82" t="s">
        <v>139</v>
      </c>
      <c r="B9" s="85" t="s">
        <v>133</v>
      </c>
      <c r="C9" s="82" t="str">
        <f aca="false">CONCATENATE(A9,"-",B9)</f>
        <v>Construção de Praças Urbanas, Rodovias, Ferrovias e recapeamento e pavimentação de vias urbanas-SG</v>
      </c>
      <c r="E9" s="86" t="n">
        <v>0.0032</v>
      </c>
      <c r="F9" s="86" t="n">
        <v>0.004</v>
      </c>
      <c r="G9" s="86" t="n">
        <v>0.0074</v>
      </c>
      <c r="I9" s="90"/>
      <c r="J9" s="90"/>
      <c r="K9" s="90"/>
      <c r="L9" s="90"/>
      <c r="M9" s="90"/>
      <c r="N9" s="90"/>
      <c r="O9" s="90"/>
      <c r="P9" s="90"/>
      <c r="Q9" s="90"/>
      <c r="R9" s="90"/>
    </row>
    <row r="10" customFormat="false" ht="12.75" hidden="false" customHeight="false" outlineLevel="0" collapsed="false">
      <c r="A10" s="82" t="s">
        <v>139</v>
      </c>
      <c r="B10" s="85" t="s">
        <v>134</v>
      </c>
      <c r="C10" s="82" t="str">
        <f aca="false">CONCATENATE(A10,"-",B10)</f>
        <v>Construção de Praças Urbanas, Rodovias, Ferrovias e recapeamento e pavimentação de vias urbanas-R</v>
      </c>
      <c r="E10" s="86" t="n">
        <v>0.005</v>
      </c>
      <c r="F10" s="86" t="n">
        <v>0.0056</v>
      </c>
      <c r="G10" s="86" t="n">
        <v>0.0097</v>
      </c>
      <c r="I10" s="35" t="s">
        <v>140</v>
      </c>
      <c r="J10" s="35"/>
      <c r="K10" s="35"/>
      <c r="L10" s="35"/>
      <c r="M10" s="35"/>
      <c r="N10" s="35"/>
      <c r="O10" s="35"/>
      <c r="P10" s="35"/>
      <c r="Q10" s="22" t="s">
        <v>141</v>
      </c>
      <c r="R10" s="22"/>
    </row>
    <row r="11" customFormat="false" ht="12.75" hidden="false" customHeight="false" outlineLevel="0" collapsed="false">
      <c r="A11" s="82" t="s">
        <v>139</v>
      </c>
      <c r="B11" s="85" t="s">
        <v>136</v>
      </c>
      <c r="C11" s="82" t="str">
        <f aca="false">CONCATENATE(A11,"-",B11)</f>
        <v>Construção de Praças Urbanas, Rodovias, Ferrovias e recapeamento e pavimentação de vias urbanas-DF</v>
      </c>
      <c r="E11" s="86" t="n">
        <v>0.0102</v>
      </c>
      <c r="F11" s="86" t="n">
        <v>0.0111</v>
      </c>
      <c r="G11" s="86" t="n">
        <v>0.0121</v>
      </c>
      <c r="I11" s="93" t="s">
        <v>131</v>
      </c>
      <c r="J11" s="93"/>
      <c r="K11" s="93"/>
      <c r="L11" s="93"/>
      <c r="M11" s="93"/>
      <c r="N11" s="93"/>
      <c r="O11" s="93"/>
      <c r="P11" s="93"/>
      <c r="Q11" s="94" t="str">
        <f aca="false">DADOS!$C$38</f>
        <v>Sim</v>
      </c>
      <c r="R11" s="94"/>
    </row>
    <row r="12" customFormat="false" ht="12.75" hidden="false" customHeight="false" outlineLevel="0" collapsed="false">
      <c r="A12" s="82" t="s">
        <v>139</v>
      </c>
      <c r="B12" s="85" t="s">
        <v>137</v>
      </c>
      <c r="C12" s="82" t="str">
        <f aca="false">CONCATENATE(A12,"-",B12)</f>
        <v>Construção de Praças Urbanas, Rodovias, Ferrovias e recapeamento e pavimentação de vias urbanas-L</v>
      </c>
      <c r="E12" s="86" t="n">
        <v>0.0664</v>
      </c>
      <c r="F12" s="86" t="n">
        <v>0.073</v>
      </c>
      <c r="G12" s="86" t="n">
        <v>0.0869</v>
      </c>
    </row>
    <row r="13" customFormat="false" ht="15" hidden="false" customHeight="true" outlineLevel="0" collapsed="false">
      <c r="A13" s="82" t="s">
        <v>139</v>
      </c>
      <c r="B13" s="91" t="s">
        <v>138</v>
      </c>
      <c r="C13" s="82" t="str">
        <f aca="false">CONCATENATE(A13,"-",B13)</f>
        <v>Construção de Praças Urbanas, Rodovias, Ferrovias e recapeamento e pavimentação de vias urbanas-BDI PAD</v>
      </c>
      <c r="E13" s="86" t="n">
        <v>0.196</v>
      </c>
      <c r="F13" s="86" t="n">
        <v>0.2097</v>
      </c>
      <c r="G13" s="86" t="n">
        <v>0.2423</v>
      </c>
      <c r="I13" s="95" t="s">
        <v>142</v>
      </c>
      <c r="J13" s="95"/>
      <c r="K13" s="95"/>
      <c r="L13" s="95"/>
      <c r="M13" s="95"/>
      <c r="N13" s="95"/>
      <c r="O13" s="95"/>
      <c r="P13" s="95"/>
      <c r="Q13" s="96" t="n">
        <v>1</v>
      </c>
      <c r="R13" s="96"/>
    </row>
    <row r="14" customFormat="false" ht="15" hidden="false" customHeight="true" outlineLevel="0" collapsed="false">
      <c r="A14" s="82" t="s">
        <v>143</v>
      </c>
      <c r="B14" s="85" t="s">
        <v>132</v>
      </c>
      <c r="C14" s="82" t="str">
        <f aca="false">CONCATENATE(A14,"-",B14)</f>
        <v>Construção de Redes de Abastecimento de Água, Coleta de Esgoto-AC</v>
      </c>
      <c r="E14" s="86" t="n">
        <v>0.0343</v>
      </c>
      <c r="F14" s="86" t="n">
        <v>0.0493</v>
      </c>
      <c r="G14" s="86" t="n">
        <v>0.0671</v>
      </c>
      <c r="I14" s="97" t="s">
        <v>144</v>
      </c>
      <c r="J14" s="97"/>
      <c r="K14" s="97"/>
      <c r="L14" s="97"/>
      <c r="M14" s="97"/>
      <c r="N14" s="97"/>
      <c r="O14" s="97"/>
      <c r="P14" s="97"/>
      <c r="Q14" s="96" t="n">
        <v>0.02</v>
      </c>
      <c r="R14" s="96"/>
    </row>
    <row r="15" customFormat="false" ht="12.75" hidden="false" customHeight="false" outlineLevel="0" collapsed="false">
      <c r="A15" s="82" t="str">
        <f aca="false">A14</f>
        <v>Construção de Redes de Abastecimento de Água, Coleta de Esgoto</v>
      </c>
      <c r="B15" s="85" t="s">
        <v>133</v>
      </c>
      <c r="C15" s="82" t="str">
        <f aca="false">CONCATENATE(A15,"-",B15)</f>
        <v>Construção de Redes de Abastecimento de Água, Coleta de Esgoto-SG</v>
      </c>
      <c r="E15" s="86" t="n">
        <v>0.0028</v>
      </c>
      <c r="F15" s="86" t="n">
        <v>0.0049</v>
      </c>
      <c r="G15" s="86" t="n">
        <v>0.0075</v>
      </c>
    </row>
    <row r="16" customFormat="false" ht="12.75" hidden="false" customHeight="true" outlineLevel="0" collapsed="false">
      <c r="B16" s="85"/>
      <c r="E16" s="86"/>
      <c r="F16" s="86"/>
      <c r="G16" s="86"/>
      <c r="I16" s="98" t="s">
        <v>145</v>
      </c>
      <c r="J16" s="98"/>
      <c r="K16" s="98"/>
      <c r="L16" s="98"/>
      <c r="M16" s="98" t="s">
        <v>146</v>
      </c>
      <c r="N16" s="99" t="s">
        <v>147</v>
      </c>
      <c r="O16" s="99" t="s">
        <v>148</v>
      </c>
      <c r="P16" s="100" t="s">
        <v>149</v>
      </c>
      <c r="Q16" s="100" t="s">
        <v>150</v>
      </c>
      <c r="R16" s="101" t="s">
        <v>151</v>
      </c>
      <c r="T16" s="102" t="str">
        <f aca="false">IF(V27,"Para BDI fora do intervalo estatístico, deve ser apresentado Relatório Técnico Circunstanciado justificando a adoção do percentual de cada parcela do BDI.","")</f>
        <v/>
      </c>
      <c r="U16" s="102"/>
      <c r="V16" s="103"/>
      <c r="W16" s="103"/>
      <c r="X16" s="103"/>
      <c r="Y16" s="103"/>
      <c r="Z16" s="103"/>
      <c r="AA16" s="103"/>
      <c r="AB16" s="103"/>
      <c r="AC16" s="103"/>
    </row>
    <row r="17" customFormat="false" ht="15.75" hidden="false" customHeight="true" outlineLevel="0" collapsed="false">
      <c r="A17" s="82" t="str">
        <f aca="false">A15</f>
        <v>Construção de Redes de Abastecimento de Água, Coleta de Esgoto</v>
      </c>
      <c r="B17" s="85" t="s">
        <v>134</v>
      </c>
      <c r="C17" s="82" t="str">
        <f aca="false">CONCATENATE(A17,"-",B17)</f>
        <v>Construção de Redes de Abastecimento de Água, Coleta de Esgoto-R</v>
      </c>
      <c r="E17" s="86" t="n">
        <v>0.01</v>
      </c>
      <c r="F17" s="86" t="n">
        <v>0.0139</v>
      </c>
      <c r="G17" s="86" t="n">
        <v>0.0174</v>
      </c>
      <c r="I17" s="98"/>
      <c r="J17" s="98"/>
      <c r="K17" s="98"/>
      <c r="L17" s="98"/>
      <c r="M17" s="98"/>
      <c r="N17" s="99"/>
      <c r="O17" s="99"/>
      <c r="P17" s="100"/>
      <c r="Q17" s="100"/>
      <c r="R17" s="101"/>
      <c r="T17" s="102"/>
      <c r="U17" s="102"/>
      <c r="V17" s="103"/>
      <c r="W17" s="103"/>
      <c r="X17" s="103"/>
      <c r="Y17" s="103"/>
      <c r="Z17" s="103"/>
      <c r="AA17" s="103"/>
      <c r="AB17" s="103"/>
      <c r="AC17" s="103"/>
    </row>
    <row r="18" customFormat="false" ht="26.25" hidden="false" customHeight="true" outlineLevel="0" collapsed="false">
      <c r="A18" s="82" t="str">
        <f aca="false">A17</f>
        <v>Construção de Redes de Abastecimento de Água, Coleta de Esgoto</v>
      </c>
      <c r="B18" s="85" t="s">
        <v>136</v>
      </c>
      <c r="C18" s="82" t="str">
        <f aca="false">CONCATENATE(A18,"-",B18)</f>
        <v>Construção de Redes de Abastecimento de Água, Coleta de Esgoto-DF</v>
      </c>
      <c r="E18" s="86" t="n">
        <v>0.0094</v>
      </c>
      <c r="F18" s="86" t="n">
        <v>0.0099</v>
      </c>
      <c r="G18" s="86" t="n">
        <v>0.0117</v>
      </c>
      <c r="I18" s="104" t="str">
        <f aca="false">IF($I$11=$A$59,"Encargos Sociais incidentes sobre a mão de obra","Administração Central")</f>
        <v>Administração Central</v>
      </c>
      <c r="J18" s="104"/>
      <c r="K18" s="104"/>
      <c r="L18" s="104"/>
      <c r="M18" s="105" t="str">
        <f aca="false">IF($I$11=$A$59,"K1","AC")</f>
        <v>AC</v>
      </c>
      <c r="N18" s="106" t="n">
        <v>0.046</v>
      </c>
      <c r="O18" s="107" t="s">
        <v>152</v>
      </c>
      <c r="P18" s="108" t="n">
        <f aca="false">VLOOKUP(CONCATENATE(I$11,"-",M18),$C$2:$G$49,3,0)</f>
        <v>0.03</v>
      </c>
      <c r="Q18" s="108" t="n">
        <f aca="false">VLOOKUP(CONCATENATE(I$11,"-",M18),$C$2:$G$49,4,0)</f>
        <v>0.04</v>
      </c>
      <c r="R18" s="108" t="n">
        <f aca="false">VLOOKUP(CONCATENATE(I$11,"-",M18),$C$2:$G$49,5,0)</f>
        <v>0.055</v>
      </c>
      <c r="T18" s="102"/>
      <c r="U18" s="102"/>
      <c r="V18" s="103"/>
      <c r="W18" s="103"/>
      <c r="X18" s="103"/>
      <c r="Y18" s="103"/>
      <c r="Z18" s="103"/>
      <c r="AA18" s="103"/>
      <c r="AB18" s="103"/>
      <c r="AC18" s="103"/>
    </row>
    <row r="19" customFormat="false" ht="26.25" hidden="false" customHeight="true" outlineLevel="0" collapsed="false">
      <c r="A19" s="82" t="str">
        <f aca="false">A18</f>
        <v>Construção de Redes de Abastecimento de Água, Coleta de Esgoto</v>
      </c>
      <c r="B19" s="85" t="s">
        <v>137</v>
      </c>
      <c r="C19" s="82" t="str">
        <f aca="false">CONCATENATE(A19,"-",B19)</f>
        <v>Construção de Redes de Abastecimento de Água, Coleta de Esgoto-L</v>
      </c>
      <c r="E19" s="86" t="n">
        <v>0.0674</v>
      </c>
      <c r="F19" s="86" t="n">
        <v>0.0804</v>
      </c>
      <c r="G19" s="86" t="n">
        <v>0.094</v>
      </c>
      <c r="I19" s="104" t="str">
        <f aca="false">IF($I$11=$A$59,"Administração Central da empresa ou consultoria - overhead","Seguro e Garantia")</f>
        <v>Seguro e Garantia</v>
      </c>
      <c r="J19" s="104"/>
      <c r="K19" s="104"/>
      <c r="L19" s="104"/>
      <c r="M19" s="105" t="str">
        <f aca="false">IF($I$11=$A$59,"K2","SG")</f>
        <v>SG</v>
      </c>
      <c r="N19" s="106" t="n">
        <v>0.008</v>
      </c>
      <c r="O19" s="107" t="s">
        <v>152</v>
      </c>
      <c r="P19" s="108" t="n">
        <f aca="false">VLOOKUP(CONCATENATE(I$11,"-",M19),$C$2:$G$49,3,0)</f>
        <v>0.008</v>
      </c>
      <c r="Q19" s="108" t="n">
        <f aca="false">VLOOKUP(CONCATENATE(I$11,"-",M19),$C$2:$G$49,4,0)</f>
        <v>0.008</v>
      </c>
      <c r="R19" s="108" t="n">
        <f aca="false">VLOOKUP(CONCATENATE(I$11,"-",M19),$C$2:$G$49,5,0)</f>
        <v>0.01</v>
      </c>
      <c r="T19" s="102"/>
      <c r="U19" s="102"/>
      <c r="V19" s="103"/>
      <c r="W19" s="103"/>
      <c r="X19" s="103"/>
      <c r="Y19" s="103"/>
      <c r="Z19" s="103"/>
      <c r="AA19" s="103"/>
      <c r="AB19" s="103"/>
      <c r="AC19" s="103"/>
    </row>
    <row r="20" customFormat="false" ht="26.25" hidden="false" customHeight="true" outlineLevel="0" collapsed="false">
      <c r="A20" s="82" t="str">
        <f aca="false">A19</f>
        <v>Construção de Redes de Abastecimento de Água, Coleta de Esgoto</v>
      </c>
      <c r="B20" s="91" t="s">
        <v>138</v>
      </c>
      <c r="C20" s="82" t="str">
        <f aca="false">CONCATENATE(A20,"-",B20)</f>
        <v>Construção de Redes de Abastecimento de Água, Coleta de Esgoto-BDI PAD</v>
      </c>
      <c r="E20" s="86" t="n">
        <v>0.2076</v>
      </c>
      <c r="F20" s="86" t="n">
        <v>0.2418</v>
      </c>
      <c r="G20" s="86" t="n">
        <v>0.2644</v>
      </c>
      <c r="I20" s="104" t="str">
        <f aca="false">IF($I$11=$A$59,"","Risco")</f>
        <v>Risco</v>
      </c>
      <c r="J20" s="104"/>
      <c r="K20" s="104"/>
      <c r="L20" s="104"/>
      <c r="M20" s="105" t="str">
        <f aca="false">IF($I$11=$A$59,"","R")</f>
        <v>R</v>
      </c>
      <c r="N20" s="106" t="n">
        <v>0.0097</v>
      </c>
      <c r="O20" s="107" t="s">
        <v>152</v>
      </c>
      <c r="P20" s="108" t="n">
        <f aca="false">VLOOKUP(CONCATENATE(I$11,"-",M20),$C$2:$G$49,3,0)</f>
        <v>0.0097</v>
      </c>
      <c r="Q20" s="108" t="n">
        <f aca="false">VLOOKUP(CONCATENATE(I$11,"-",M20),$C$2:$G$49,4,0)</f>
        <v>0.0127</v>
      </c>
      <c r="R20" s="108" t="n">
        <f aca="false">VLOOKUP(CONCATENATE(I$11,"-",M20),$C$2:$G$49,5,0)</f>
        <v>0.0127</v>
      </c>
      <c r="T20" s="102"/>
      <c r="U20" s="102"/>
      <c r="V20" s="103"/>
      <c r="W20" s="103"/>
      <c r="X20" s="103"/>
      <c r="Y20" s="103"/>
      <c r="Z20" s="103"/>
      <c r="AA20" s="103"/>
      <c r="AB20" s="103"/>
      <c r="AC20" s="103"/>
    </row>
    <row r="21" customFormat="false" ht="26.25" hidden="false" customHeight="true" outlineLevel="0" collapsed="false">
      <c r="A21" s="82" t="s">
        <v>153</v>
      </c>
      <c r="B21" s="85" t="s">
        <v>132</v>
      </c>
      <c r="C21" s="82" t="str">
        <f aca="false">CONCATENATE(A21,"-",B21)</f>
        <v>Construção e Manutenção de Estações e Redes de Distribuição de Energia Elétrica-AC</v>
      </c>
      <c r="E21" s="86" t="n">
        <v>0.0529</v>
      </c>
      <c r="F21" s="86" t="n">
        <v>0.0592</v>
      </c>
      <c r="G21" s="86" t="n">
        <v>0.0793</v>
      </c>
      <c r="I21" s="104" t="str">
        <f aca="false">IF($I$11=$A$59,"","Despesas Financeiras")</f>
        <v>Despesas Financeiras</v>
      </c>
      <c r="J21" s="104"/>
      <c r="K21" s="104"/>
      <c r="L21" s="104"/>
      <c r="M21" s="105" t="str">
        <f aca="false">IF($I$11=$A$59,"","DF")</f>
        <v>DF</v>
      </c>
      <c r="N21" s="106" t="n">
        <v>0.0059</v>
      </c>
      <c r="O21" s="107" t="s">
        <v>152</v>
      </c>
      <c r="P21" s="108" t="n">
        <f aca="false">VLOOKUP(CONCATENATE(I$11,"-",M21),$C$2:$G$49,3,0)</f>
        <v>0.0059</v>
      </c>
      <c r="Q21" s="108" t="n">
        <f aca="false">VLOOKUP(CONCATENATE(I$11,"-",M21),$C$2:$G$49,4,0)</f>
        <v>0.0123</v>
      </c>
      <c r="R21" s="108" t="n">
        <f aca="false">VLOOKUP(CONCATENATE(I$11,"-",M21),$C$2:$G$49,5,0)</f>
        <v>0.0139</v>
      </c>
      <c r="T21" s="102"/>
      <c r="U21" s="102"/>
    </row>
    <row r="22" customFormat="false" ht="26.25" hidden="false" customHeight="true" outlineLevel="0" collapsed="false">
      <c r="A22" s="82" t="str">
        <f aca="false">A21</f>
        <v>Construção e Manutenção de Estações e Redes de Distribuição de Energia Elétrica</v>
      </c>
      <c r="B22" s="85" t="s">
        <v>133</v>
      </c>
      <c r="C22" s="82" t="str">
        <f aca="false">CONCATENATE(A22,"-",B22)</f>
        <v>Construção e Manutenção de Estações e Redes de Distribuição de Energia Elétrica-SG</v>
      </c>
      <c r="E22" s="86" t="n">
        <v>0.0025</v>
      </c>
      <c r="F22" s="86" t="n">
        <v>0.0051</v>
      </c>
      <c r="G22" s="86" t="n">
        <v>0.0056</v>
      </c>
      <c r="I22" s="104" t="str">
        <f aca="false">IF($I$11=$A$59,"Margem bruta da empresa de consultoria","Lucro")</f>
        <v>Lucro</v>
      </c>
      <c r="J22" s="104"/>
      <c r="K22" s="104"/>
      <c r="L22" s="104"/>
      <c r="M22" s="105" t="str">
        <f aca="false">IF($I$11=$A$59,"K3","L")</f>
        <v>L</v>
      </c>
      <c r="N22" s="106" t="n">
        <v>0.0616</v>
      </c>
      <c r="O22" s="107" t="s">
        <v>152</v>
      </c>
      <c r="P22" s="108" t="n">
        <f aca="false">VLOOKUP(CONCATENATE(I$11,"-",M22),$C$2:$G$49,3,0)</f>
        <v>0.0616</v>
      </c>
      <c r="Q22" s="108" t="n">
        <f aca="false">VLOOKUP(CONCATENATE(I$11,"-",M22),$C$2:$G$49,4,0)</f>
        <v>0.074</v>
      </c>
      <c r="R22" s="108" t="n">
        <f aca="false">VLOOKUP(CONCATENATE(I$11,"-",M22),$C$2:$G$49,5,0)</f>
        <v>0.0896</v>
      </c>
      <c r="T22" s="102"/>
      <c r="U22" s="102"/>
    </row>
    <row r="23" customFormat="false" ht="26.25" hidden="false" customHeight="true" outlineLevel="0" collapsed="false">
      <c r="A23" s="82" t="str">
        <f aca="false">A22</f>
        <v>Construção e Manutenção de Estações e Redes de Distribuição de Energia Elétrica</v>
      </c>
      <c r="B23" s="85" t="s">
        <v>134</v>
      </c>
      <c r="C23" s="82" t="str">
        <f aca="false">CONCATENATE(A23,"-",B23)</f>
        <v>Construção e Manutenção de Estações e Redes de Distribuição de Energia Elétrica-R</v>
      </c>
      <c r="E23" s="86" t="n">
        <v>0.01</v>
      </c>
      <c r="F23" s="86" t="n">
        <v>0.0148</v>
      </c>
      <c r="G23" s="86" t="n">
        <v>0.0197</v>
      </c>
      <c r="I23" s="109" t="s">
        <v>154</v>
      </c>
      <c r="J23" s="109"/>
      <c r="K23" s="109"/>
      <c r="L23" s="109"/>
      <c r="M23" s="105" t="s">
        <v>155</v>
      </c>
      <c r="N23" s="106" t="n">
        <v>0.0365</v>
      </c>
      <c r="O23" s="107" t="s">
        <v>152</v>
      </c>
      <c r="P23" s="108" t="n">
        <v>0.0365</v>
      </c>
      <c r="Q23" s="108" t="n">
        <v>0.0365</v>
      </c>
      <c r="R23" s="108" t="n">
        <v>0.0365</v>
      </c>
      <c r="T23" s="102"/>
      <c r="U23" s="102"/>
    </row>
    <row r="24" customFormat="false" ht="26.25" hidden="false" customHeight="true" outlineLevel="0" collapsed="false">
      <c r="A24" s="82" t="str">
        <f aca="false">A23</f>
        <v>Construção e Manutenção de Estações e Redes de Distribuição de Energia Elétrica</v>
      </c>
      <c r="B24" s="85" t="s">
        <v>136</v>
      </c>
      <c r="C24" s="82" t="str">
        <f aca="false">CONCATENATE(A24,"-",B24)</f>
        <v>Construção e Manutenção de Estações e Redes de Distribuição de Energia Elétrica-DF</v>
      </c>
      <c r="E24" s="86" t="n">
        <v>0.0101</v>
      </c>
      <c r="F24" s="86" t="n">
        <v>0.0107</v>
      </c>
      <c r="G24" s="86" t="n">
        <v>0.0111</v>
      </c>
      <c r="I24" s="104" t="s">
        <v>156</v>
      </c>
      <c r="J24" s="104"/>
      <c r="K24" s="104"/>
      <c r="L24" s="104"/>
      <c r="M24" s="105" t="s">
        <v>157</v>
      </c>
      <c r="N24" s="108" t="n">
        <f aca="false">IF($I$11&lt;&gt;$A$58,Q14*Q13,0)</f>
        <v>0.02</v>
      </c>
      <c r="O24" s="107" t="s">
        <v>152</v>
      </c>
      <c r="P24" s="108" t="n">
        <v>0</v>
      </c>
      <c r="Q24" s="108" t="n">
        <v>0.025</v>
      </c>
      <c r="R24" s="108" t="n">
        <v>0.05</v>
      </c>
      <c r="T24" s="102"/>
      <c r="U24" s="102"/>
    </row>
    <row r="25" customFormat="false" ht="26.25" hidden="false" customHeight="true" outlineLevel="0" collapsed="false">
      <c r="A25" s="82" t="str">
        <f aca="false">A24</f>
        <v>Construção e Manutenção de Estações e Redes de Distribuição de Energia Elétrica</v>
      </c>
      <c r="B25" s="85" t="s">
        <v>137</v>
      </c>
      <c r="C25" s="82" t="str">
        <f aca="false">CONCATENATE(A25,"-",B25)</f>
        <v>Construção e Manutenção de Estações e Redes de Distribuição de Energia Elétrica-L</v>
      </c>
      <c r="E25" s="86" t="n">
        <v>0.08</v>
      </c>
      <c r="F25" s="86" t="n">
        <v>0.0831</v>
      </c>
      <c r="G25" s="86" t="n">
        <v>0.0951</v>
      </c>
      <c r="I25" s="104" t="s">
        <v>158</v>
      </c>
      <c r="J25" s="104"/>
      <c r="K25" s="104"/>
      <c r="L25" s="104"/>
      <c r="M25" s="105" t="s">
        <v>159</v>
      </c>
      <c r="N25" s="108" t="n">
        <f aca="false">IF(AND($I$11&lt;&gt;$A$58,Q11="Sim"),4.5%,0%)</f>
        <v>0.045</v>
      </c>
      <c r="O25" s="107" t="str">
        <f aca="false">IF(AND(N25&gt;=P25, N25&lt;=R25), "OK", "Não OK")</f>
        <v>OK</v>
      </c>
      <c r="P25" s="110" t="n">
        <v>0</v>
      </c>
      <c r="Q25" s="110" t="n">
        <v>0.045</v>
      </c>
      <c r="R25" s="110" t="n">
        <v>0.045</v>
      </c>
    </row>
    <row r="26" customFormat="false" ht="30.75" hidden="false" customHeight="true" outlineLevel="0" collapsed="false">
      <c r="A26" s="82" t="str">
        <f aca="false">A25</f>
        <v>Construção e Manutenção de Estações e Redes de Distribuição de Energia Elétrica</v>
      </c>
      <c r="B26" s="91" t="s">
        <v>138</v>
      </c>
      <c r="C26" s="82" t="str">
        <f aca="false">CONCATENATE(A26,"-",B26)</f>
        <v>Construção e Manutenção de Estações e Redes de Distribuição de Energia Elétrica-BDI PAD</v>
      </c>
      <c r="E26" s="86" t="n">
        <v>0.24</v>
      </c>
      <c r="F26" s="86" t="n">
        <v>0.2584</v>
      </c>
      <c r="G26" s="86" t="n">
        <v>0.2786</v>
      </c>
      <c r="I26" s="104" t="s">
        <v>160</v>
      </c>
      <c r="J26" s="104"/>
      <c r="K26" s="104"/>
      <c r="L26" s="104"/>
      <c r="M26" s="111" t="s">
        <v>138</v>
      </c>
      <c r="N26" s="108" t="n">
        <f aca="false">IF($I$11=$A$58,0,ROUND((((1+N18+N19+N20)*(1+N21)*(1+N22)/(1-(N23+N24)))-1),4))</f>
        <v>0.2039</v>
      </c>
      <c r="O26" s="99" t="str">
        <f aca="false">IF(OR($I$11=$A$59,$I$11=$A$58,AND(N26&gt;=P26, N26&lt;=R26)), "OK", "FORA DO INTERVALO")</f>
        <v>OK</v>
      </c>
      <c r="P26" s="108" t="n">
        <f aca="false">IF($I$11=$A$58,0,VLOOKUP(CONCATENATE($I$11,"-",$M26),$C$2:$G$49,3,0))</f>
        <v>0.2034</v>
      </c>
      <c r="Q26" s="108" t="n">
        <f aca="false">IF($I$11=$A$58,0,VLOOKUP(CONCATENATE($I$11,"-",$M26),$C$2:$G$49,4,0))</f>
        <v>0.2212</v>
      </c>
      <c r="R26" s="108" t="n">
        <f aca="false">IF($I$11=$A$58,0,VLOOKUP(CONCATENATE($I$11,"-",$M26),$C$2:$G$49,5,0))</f>
        <v>0.25</v>
      </c>
      <c r="T26" s="112"/>
      <c r="V26" s="103"/>
      <c r="W26" s="103"/>
      <c r="X26" s="103"/>
      <c r="Y26" s="103"/>
      <c r="Z26" s="103"/>
      <c r="AA26" s="103"/>
      <c r="AB26" s="103"/>
      <c r="AC26" s="103"/>
      <c r="AD26" s="103"/>
      <c r="AE26" s="103"/>
    </row>
    <row r="27" customFormat="false" ht="30" hidden="false" customHeight="true" outlineLevel="0" collapsed="false">
      <c r="A27" s="82" t="s">
        <v>161</v>
      </c>
      <c r="B27" s="85" t="s">
        <v>132</v>
      </c>
      <c r="C27" s="82" t="str">
        <f aca="false">CONCATENATE(A27,"-",B27)</f>
        <v>Obras Portuárias, Marítimas e Fluviais-AC</v>
      </c>
      <c r="E27" s="86" t="n">
        <v>0.04</v>
      </c>
      <c r="F27" s="86" t="n">
        <v>0.0552</v>
      </c>
      <c r="G27" s="86" t="n">
        <v>0.0785</v>
      </c>
      <c r="I27" s="113" t="s">
        <v>162</v>
      </c>
      <c r="J27" s="113"/>
      <c r="K27" s="113"/>
      <c r="L27" s="113"/>
      <c r="M27" s="114" t="s">
        <v>163</v>
      </c>
      <c r="N27" s="115" t="n">
        <f aca="false">IF($I$11=$A$58,0,ROUND((((1+N18+N19+N20)*(1+N21)*(1+N22)/(1-(N23+N24+N25)))-1),4))</f>
        <v>0.2642</v>
      </c>
      <c r="O27" s="116" t="str">
        <f aca="false">IF(Q11&lt;&gt;"Sim","",O26)</f>
        <v>OK</v>
      </c>
      <c r="P27" s="117"/>
      <c r="Q27" s="117"/>
      <c r="R27" s="117"/>
      <c r="T27" s="112"/>
      <c r="V27" s="118" t="n">
        <f aca="false">AND(COUNTA(N18:N23)=6,O26&lt;&gt;"ok",NOT(V29))</f>
        <v>0</v>
      </c>
      <c r="W27" s="82" t="s">
        <v>164</v>
      </c>
    </row>
    <row r="28" customFormat="false" ht="7.5" hidden="false" customHeight="true" outlineLevel="0" collapsed="false">
      <c r="A28" s="82" t="str">
        <f aca="false">A27</f>
        <v>Obras Portuárias, Marítimas e Fluviais</v>
      </c>
      <c r="B28" s="85" t="s">
        <v>133</v>
      </c>
      <c r="C28" s="82" t="str">
        <f aca="false">CONCATENATE(A28,"-",B28)</f>
        <v>Obras Portuárias, Marítimas e Fluviais-SG</v>
      </c>
      <c r="E28" s="86" t="n">
        <v>0.0081</v>
      </c>
      <c r="F28" s="86" t="n">
        <v>0.0122</v>
      </c>
      <c r="G28" s="86" t="n">
        <v>0.0199</v>
      </c>
      <c r="V28" s="118"/>
    </row>
    <row r="29" customFormat="false" ht="21.75" hidden="false" customHeight="true" outlineLevel="0" collapsed="false">
      <c r="A29" s="82" t="str">
        <f aca="false">A28</f>
        <v>Obras Portuárias, Marítimas e Fluviais</v>
      </c>
      <c r="B29" s="85" t="s">
        <v>134</v>
      </c>
      <c r="C29" s="82" t="str">
        <f aca="false">CONCATENATE(A29,"-",B29)</f>
        <v>Obras Portuárias, Marítimas e Fluviais-R</v>
      </c>
      <c r="E29" s="86" t="n">
        <v>0.0146</v>
      </c>
      <c r="F29" s="86" t="n">
        <v>0.0232</v>
      </c>
      <c r="G29" s="86" t="n">
        <v>0.0316</v>
      </c>
      <c r="I29" s="119" t="str">
        <f aca="false">IF(V29,"X","")</f>
        <v/>
      </c>
      <c r="J29" s="120" t="s">
        <v>165</v>
      </c>
      <c r="K29" s="120"/>
      <c r="L29" s="120"/>
      <c r="M29" s="120"/>
      <c r="N29" s="120"/>
      <c r="O29" s="120"/>
      <c r="P29" s="120"/>
      <c r="Q29" s="120"/>
      <c r="R29" s="120"/>
      <c r="V29" s="118" t="n">
        <f aca="false">FALSE()</f>
        <v>0</v>
      </c>
      <c r="W29" s="82" t="s">
        <v>166</v>
      </c>
    </row>
    <row r="30" customFormat="false" ht="7.5" hidden="false" customHeight="true" outlineLevel="0" collapsed="false">
      <c r="B30" s="85"/>
      <c r="E30" s="86"/>
      <c r="F30" s="86"/>
      <c r="G30" s="86"/>
      <c r="V30" s="118"/>
    </row>
    <row r="31" customFormat="false" ht="18.75" hidden="false" customHeight="true" outlineLevel="0" collapsed="false">
      <c r="B31" s="85"/>
      <c r="E31" s="86"/>
      <c r="F31" s="86"/>
      <c r="G31" s="86"/>
      <c r="I31" s="121" t="s">
        <v>167</v>
      </c>
      <c r="J31" s="121"/>
      <c r="K31" s="121"/>
      <c r="L31" s="121"/>
      <c r="M31" s="121"/>
      <c r="N31" s="121"/>
      <c r="O31" s="121"/>
      <c r="P31" s="121"/>
      <c r="Q31" s="121"/>
      <c r="R31" s="121"/>
    </row>
    <row r="32" customFormat="false" ht="30" hidden="false" customHeight="true" outlineLevel="0" collapsed="false">
      <c r="A32" s="82" t="str">
        <f aca="false">A29</f>
        <v>Obras Portuárias, Marítimas e Fluviais</v>
      </c>
      <c r="B32" s="85" t="s">
        <v>136</v>
      </c>
      <c r="C32" s="82" t="str">
        <f aca="false">CONCATENATE(A32,"-",B32)</f>
        <v>Obras Portuárias, Marítimas e Fluviais-DF</v>
      </c>
      <c r="E32" s="86" t="n">
        <v>0.0094</v>
      </c>
      <c r="F32" s="86" t="n">
        <v>0.0102</v>
      </c>
      <c r="G32" s="86" t="n">
        <v>0.0133</v>
      </c>
      <c r="I32" s="122"/>
      <c r="J32" s="122"/>
      <c r="K32" s="122"/>
      <c r="L32" s="123" t="str">
        <f aca="false">IF(Q11="Sim","BDI.DES =","BDI.PAD =")</f>
        <v>BDI.DES =</v>
      </c>
      <c r="M32" s="124" t="str">
        <f aca="false">IF($I$11=$A$59,"(1+K1+K2)*(1+K3)","(1+AC + S + R + G)*(1 + DF)*(1+L)")</f>
        <v>(1+AC + S + R + G)*(1 + DF)*(1+L)</v>
      </c>
      <c r="N32" s="124"/>
      <c r="O32" s="124"/>
      <c r="P32" s="125" t="s">
        <v>168</v>
      </c>
      <c r="Q32" s="122"/>
      <c r="R32" s="122"/>
    </row>
    <row r="33" customFormat="false" ht="27" hidden="false" customHeight="true" outlineLevel="0" collapsed="false">
      <c r="A33" s="82" t="str">
        <f aca="false">A32</f>
        <v>Obras Portuárias, Marítimas e Fluviais</v>
      </c>
      <c r="B33" s="85" t="s">
        <v>137</v>
      </c>
      <c r="C33" s="82" t="str">
        <f aca="false">CONCATENATE(A33,"-",B33)</f>
        <v>Obras Portuárias, Marítimas e Fluviais-L</v>
      </c>
      <c r="E33" s="86" t="n">
        <v>0.0714</v>
      </c>
      <c r="F33" s="86" t="n">
        <v>0.084</v>
      </c>
      <c r="G33" s="86" t="n">
        <v>0.1043</v>
      </c>
      <c r="I33" s="122"/>
      <c r="J33" s="122"/>
      <c r="K33" s="122"/>
      <c r="L33" s="123"/>
      <c r="M33" s="126" t="str">
        <f aca="false">IF(Q11="Sim","(1-CP-ISS-CRPB)","(1-CP-ISS)")</f>
        <v>(1-CP-ISS-CRPB)</v>
      </c>
      <c r="N33" s="126"/>
      <c r="O33" s="126"/>
      <c r="P33" s="125"/>
      <c r="Q33" s="122"/>
      <c r="R33" s="122"/>
    </row>
    <row r="34" customFormat="false" ht="7.5" hidden="false" customHeight="true" outlineLevel="0" collapsed="false">
      <c r="A34" s="82" t="str">
        <f aca="false">A33</f>
        <v>Obras Portuárias, Marítimas e Fluviais</v>
      </c>
      <c r="B34" s="91" t="s">
        <v>138</v>
      </c>
      <c r="C34" s="82" t="str">
        <f aca="false">CONCATENATE(A34,"-",B34)</f>
        <v>Obras Portuárias, Marítimas e Fluviais-BDI PAD</v>
      </c>
      <c r="E34" s="86" t="n">
        <v>0.228</v>
      </c>
      <c r="F34" s="86" t="n">
        <v>0.2748</v>
      </c>
      <c r="G34" s="86" t="n">
        <v>0.3095</v>
      </c>
      <c r="I34" s="127"/>
      <c r="J34" s="127"/>
      <c r="K34" s="127"/>
      <c r="L34" s="127"/>
      <c r="M34" s="127"/>
      <c r="N34" s="127"/>
      <c r="O34" s="127"/>
      <c r="P34" s="127"/>
      <c r="Q34" s="127"/>
      <c r="R34" s="127"/>
    </row>
    <row r="35" customFormat="false" ht="45" hidden="false" customHeight="true" outlineLevel="0" collapsed="false">
      <c r="B35" s="91"/>
      <c r="E35" s="86"/>
      <c r="F35" s="86"/>
      <c r="G35" s="86"/>
      <c r="I35" s="128" t="str">
        <f aca="false">CONCATENATE("Declaro para os devidos fins que, conforme legislação tributária municipal, a base de cálculo para ",I11,", é de ",Q13*100,"%, com a respectiva alíquota de ",Q14*100,"%.")</f>
        <v>Declaro para os devidos fins que, conforme legislação tributária municipal, a base de cálculo para Construção e Reforma de Edifícios, é de 100%, com a respectiva alíquota de 2%.</v>
      </c>
      <c r="J35" s="128"/>
      <c r="K35" s="128"/>
      <c r="L35" s="128"/>
      <c r="M35" s="128"/>
      <c r="N35" s="128"/>
      <c r="O35" s="128"/>
      <c r="P35" s="128"/>
      <c r="Q35" s="128"/>
      <c r="R35" s="128"/>
    </row>
    <row r="36" customFormat="false" ht="11.25" hidden="false" customHeight="true" outlineLevel="0" collapsed="false">
      <c r="B36" s="91"/>
      <c r="E36" s="86"/>
      <c r="F36" s="86"/>
      <c r="G36" s="86"/>
    </row>
    <row r="37" customFormat="false" ht="52.5" hidden="false" customHeight="true" outlineLevel="0" collapsed="false">
      <c r="B37" s="91"/>
      <c r="E37" s="86"/>
      <c r="F37" s="86"/>
      <c r="G37" s="86"/>
      <c r="I37" s="128" t="str">
        <f aca="false">CONCATENATE("Declaro para os devidos fins que o regime de Contribuição Previdenciária sobre a Receita Bruta adotado para elaboração do orçamento foi ",IF(Q11="Sim","COM","SEM")," Desoneração, e que esta é a alternativa mais adequada para a Administração Pública.")</f>
        <v>Declaro para os devidos fins que o regime de Contribuição Previdenciária sobre a Receita Bruta adotado para elaboração do orçamento foi COM Desoneração, e que esta é a alternativa mais adequada para a Administração Pública.</v>
      </c>
      <c r="J37" s="128"/>
      <c r="K37" s="128"/>
      <c r="L37" s="128"/>
      <c r="M37" s="128"/>
      <c r="N37" s="128"/>
      <c r="O37" s="128"/>
      <c r="P37" s="128"/>
      <c r="Q37" s="128"/>
      <c r="R37" s="128"/>
    </row>
    <row r="38" customFormat="false" ht="18" hidden="false" customHeight="true" outlineLevel="0" collapsed="false">
      <c r="A38" s="82" t="s">
        <v>169</v>
      </c>
      <c r="B38" s="85" t="s">
        <v>132</v>
      </c>
      <c r="C38" s="82" t="str">
        <f aca="false">CONCATENATE(A38,"-",B38)</f>
        <v>Fornecimento de Materiais e Equipamentos (aquisição indireta - em conjunto com licitação de obras)-AC</v>
      </c>
      <c r="E38" s="86" t="n">
        <v>0.015</v>
      </c>
      <c r="F38" s="86" t="n">
        <v>0.0345</v>
      </c>
      <c r="G38" s="86" t="n">
        <v>0.0449</v>
      </c>
    </row>
    <row r="39" customFormat="false" ht="12.75" hidden="false" customHeight="false" outlineLevel="0" collapsed="false">
      <c r="A39" s="82" t="str">
        <f aca="false">A38</f>
        <v>Fornecimento de Materiais e Equipamentos (aquisição indireta - em conjunto com licitação de obras)</v>
      </c>
      <c r="B39" s="85" t="s">
        <v>133</v>
      </c>
      <c r="C39" s="82" t="str">
        <f aca="false">CONCATENATE(A39,"-",B39)</f>
        <v>Fornecimento de Materiais e Equipamentos (aquisição indireta - em conjunto com licitação de obras)-SG</v>
      </c>
      <c r="E39" s="86" t="n">
        <v>0.003</v>
      </c>
      <c r="F39" s="86" t="n">
        <v>0.0048</v>
      </c>
      <c r="G39" s="86" t="n">
        <v>0.0082</v>
      </c>
      <c r="I39" s="82" t="s">
        <v>170</v>
      </c>
    </row>
    <row r="40" customFormat="false" ht="42.75" hidden="false" customHeight="true" outlineLevel="0" collapsed="false">
      <c r="A40" s="82" t="str">
        <f aca="false">A39</f>
        <v>Fornecimento de Materiais e Equipamentos (aquisição indireta - em conjunto com licitação de obras)</v>
      </c>
      <c r="B40" s="85" t="s">
        <v>134</v>
      </c>
      <c r="C40" s="82" t="str">
        <f aca="false">CONCATENATE(A40,"-",B40)</f>
        <v>Fornecimento de Materiais e Equipamentos (aquisição indireta - em conjunto com licitação de obras)-R</v>
      </c>
      <c r="E40" s="86" t="n">
        <v>0.0056</v>
      </c>
      <c r="F40" s="86" t="n">
        <v>0.0085</v>
      </c>
      <c r="G40" s="86" t="n">
        <v>0.0089</v>
      </c>
      <c r="I40" s="129"/>
      <c r="J40" s="129"/>
      <c r="K40" s="129"/>
      <c r="L40" s="129"/>
      <c r="M40" s="129"/>
      <c r="N40" s="129"/>
      <c r="O40" s="129"/>
      <c r="P40" s="129"/>
      <c r="Q40" s="129"/>
      <c r="R40" s="129"/>
    </row>
    <row r="41" customFormat="false" ht="16.5" hidden="false" customHeight="true" outlineLevel="0" collapsed="false">
      <c r="A41" s="82" t="str">
        <f aca="false">A40</f>
        <v>Fornecimento de Materiais e Equipamentos (aquisição indireta - em conjunto com licitação de obras)</v>
      </c>
      <c r="B41" s="85" t="s">
        <v>136</v>
      </c>
      <c r="C41" s="82" t="str">
        <f aca="false">CONCATENATE(A41,"-",B41)</f>
        <v>Fornecimento de Materiais e Equipamentos (aquisição indireta - em conjunto com licitação de obras)-DF</v>
      </c>
      <c r="E41" s="86" t="n">
        <v>0.0085</v>
      </c>
      <c r="F41" s="86" t="n">
        <v>0.0085</v>
      </c>
      <c r="G41" s="86" t="n">
        <v>0.0111</v>
      </c>
    </row>
    <row r="42" customFormat="false" ht="12.75" hidden="false" customHeight="false" outlineLevel="0" collapsed="false">
      <c r="A42" s="82" t="str">
        <f aca="false">A41</f>
        <v>Fornecimento de Materiais e Equipamentos (aquisição indireta - em conjunto com licitação de obras)</v>
      </c>
      <c r="B42" s="85" t="s">
        <v>137</v>
      </c>
      <c r="C42" s="82" t="str">
        <f aca="false">CONCATENATE(A42,"-",B42)</f>
        <v>Fornecimento de Materiais e Equipamentos (aquisição indireta - em conjunto com licitação de obras)-L</v>
      </c>
      <c r="E42" s="86" t="n">
        <v>0.035</v>
      </c>
      <c r="F42" s="86" t="n">
        <v>0.0511</v>
      </c>
      <c r="G42" s="86" t="n">
        <v>0.0622</v>
      </c>
      <c r="I42" s="130" t="str">
        <f aca="false">PO!K42</f>
        <v>PARAGUAÇU PAULISTA</v>
      </c>
      <c r="J42" s="130"/>
      <c r="K42" s="130"/>
      <c r="L42" s="130"/>
      <c r="O42" s="131" t="n">
        <f aca="false">PO!K45</f>
        <v>43740</v>
      </c>
      <c r="P42" s="131"/>
      <c r="Q42" s="131"/>
      <c r="R42" s="131"/>
    </row>
    <row r="43" customFormat="false" ht="15" hidden="false" customHeight="true" outlineLevel="0" collapsed="false">
      <c r="A43" s="82" t="str">
        <f aca="false">A42</f>
        <v>Fornecimento de Materiais e Equipamentos (aquisição indireta - em conjunto com licitação de obras)</v>
      </c>
      <c r="B43" s="91" t="s">
        <v>138</v>
      </c>
      <c r="C43" s="82" t="str">
        <f aca="false">CONCATENATE(A43,"-",B43)</f>
        <v>Fornecimento de Materiais e Equipamentos (aquisição indireta - em conjunto com licitação de obras)-BDI PAD</v>
      </c>
      <c r="E43" s="86" t="n">
        <v>0.111</v>
      </c>
      <c r="F43" s="86" t="n">
        <v>0.1402</v>
      </c>
      <c r="G43" s="86" t="n">
        <v>0.168</v>
      </c>
      <c r="I43" s="132" t="s">
        <v>171</v>
      </c>
      <c r="J43" s="132"/>
      <c r="K43" s="132"/>
      <c r="L43" s="132"/>
      <c r="N43" s="133"/>
      <c r="O43" s="134" t="s">
        <v>172</v>
      </c>
      <c r="P43" s="135"/>
      <c r="Q43" s="135"/>
      <c r="R43" s="135"/>
    </row>
    <row r="44" customFormat="false" ht="12.75" hidden="false" customHeight="false" outlineLevel="0" collapsed="false">
      <c r="A44" s="82" t="s">
        <v>173</v>
      </c>
      <c r="B44" s="85" t="s">
        <v>174</v>
      </c>
      <c r="C44" s="82" t="str">
        <f aca="false">CONCATENATE(A44,"-",B44)</f>
        <v>Estudos e Projetos, Planos e Gerenciamento e outros correlatos-K1</v>
      </c>
      <c r="E44" s="86" t="s">
        <v>152</v>
      </c>
      <c r="F44" s="86" t="s">
        <v>152</v>
      </c>
      <c r="G44" s="86" t="s">
        <v>152</v>
      </c>
    </row>
    <row r="45" customFormat="false" ht="30" hidden="false" customHeight="true" outlineLevel="0" collapsed="false">
      <c r="A45" s="82" t="str">
        <f aca="false">A44</f>
        <v>Estudos e Projetos, Planos e Gerenciamento e outros correlatos</v>
      </c>
      <c r="B45" s="85" t="s">
        <v>175</v>
      </c>
      <c r="C45" s="82" t="str">
        <f aca="false">CONCATENATE(A45,"-",B45)</f>
        <v>Estudos e Projetos, Planos e Gerenciamento e outros correlatos-K2</v>
      </c>
      <c r="E45" s="86" t="s">
        <v>152</v>
      </c>
      <c r="F45" s="86" t="n">
        <v>0.2</v>
      </c>
      <c r="G45" s="86" t="s">
        <v>152</v>
      </c>
      <c r="I45" s="136"/>
      <c r="J45" s="136"/>
      <c r="K45" s="136"/>
      <c r="L45" s="136"/>
      <c r="M45" s="137"/>
      <c r="N45" s="137"/>
      <c r="O45" s="136"/>
      <c r="P45" s="136"/>
      <c r="Q45" s="136"/>
      <c r="R45" s="136"/>
    </row>
    <row r="46" customFormat="false" ht="12.75" hidden="false" customHeight="false" outlineLevel="0" collapsed="false">
      <c r="A46" s="82" t="str">
        <f aca="false">A45</f>
        <v>Estudos e Projetos, Planos e Gerenciamento e outros correlatos</v>
      </c>
      <c r="B46" s="85"/>
      <c r="C46" s="82" t="str">
        <f aca="false">CONCATENATE(A46,"-",B46)</f>
        <v>Estudos e Projetos, Planos e Gerenciamento e outros correlatos-</v>
      </c>
      <c r="E46" s="86" t="s">
        <v>152</v>
      </c>
      <c r="F46" s="86" t="s">
        <v>152</v>
      </c>
      <c r="G46" s="86" t="s">
        <v>152</v>
      </c>
      <c r="I46" s="138" t="s">
        <v>176</v>
      </c>
      <c r="J46" s="138"/>
      <c r="K46" s="138"/>
      <c r="L46" s="138"/>
      <c r="M46" s="139"/>
      <c r="N46" s="139"/>
      <c r="O46" s="138" t="s">
        <v>177</v>
      </c>
      <c r="P46" s="138"/>
      <c r="Q46" s="138"/>
      <c r="R46" s="138"/>
    </row>
    <row r="47" customFormat="false" ht="14.25" hidden="false" customHeight="false" outlineLevel="0" collapsed="false">
      <c r="A47" s="82" t="str">
        <f aca="false">A46</f>
        <v>Estudos e Projetos, Planos e Gerenciamento e outros correlatos</v>
      </c>
      <c r="B47" s="85"/>
      <c r="C47" s="82" t="str">
        <f aca="false">CONCATENATE(A47,"-",B47)</f>
        <v>Estudos e Projetos, Planos e Gerenciamento e outros correlatos-</v>
      </c>
      <c r="E47" s="86" t="s">
        <v>152</v>
      </c>
      <c r="F47" s="86" t="s">
        <v>152</v>
      </c>
      <c r="G47" s="86" t="s">
        <v>152</v>
      </c>
      <c r="I47" s="42" t="s">
        <v>54</v>
      </c>
      <c r="J47" s="140" t="str">
        <f aca="false">DADOS!B54</f>
        <v>Joaquim Carlos Cambraia</v>
      </c>
      <c r="K47" s="140"/>
      <c r="L47" s="140"/>
      <c r="M47" s="141"/>
      <c r="N47" s="141"/>
      <c r="O47" s="42" t="s">
        <v>54</v>
      </c>
      <c r="P47" s="142" t="s">
        <v>178</v>
      </c>
      <c r="Q47" s="142"/>
      <c r="R47" s="142"/>
    </row>
    <row r="48" customFormat="false" ht="14.25" hidden="false" customHeight="false" outlineLevel="0" collapsed="false">
      <c r="A48" s="82" t="str">
        <f aca="false">A47</f>
        <v>Estudos e Projetos, Planos e Gerenciamento e outros correlatos</v>
      </c>
      <c r="B48" s="85" t="s">
        <v>179</v>
      </c>
      <c r="C48" s="82" t="str">
        <f aca="false">CONCATENATE(A48,"-",B48)</f>
        <v>Estudos e Projetos, Planos e Gerenciamento e outros correlatos-K3</v>
      </c>
      <c r="E48" s="86" t="s">
        <v>152</v>
      </c>
      <c r="F48" s="86" t="n">
        <v>0.12</v>
      </c>
      <c r="G48" s="86" t="s">
        <v>152</v>
      </c>
      <c r="I48" s="42" t="s">
        <v>180</v>
      </c>
      <c r="J48" s="140" t="str">
        <f aca="false">DADOS!B55</f>
        <v>Engº civil </v>
      </c>
      <c r="K48" s="140"/>
      <c r="L48" s="140"/>
      <c r="M48" s="141"/>
      <c r="N48" s="141"/>
      <c r="O48" s="42" t="s">
        <v>181</v>
      </c>
      <c r="P48" s="142" t="s">
        <v>182</v>
      </c>
      <c r="Q48" s="142"/>
      <c r="R48" s="142"/>
    </row>
    <row r="49" customFormat="false" ht="14.25" hidden="false" customHeight="false" outlineLevel="0" collapsed="false">
      <c r="A49" s="82" t="str">
        <f aca="false">A48</f>
        <v>Estudos e Projetos, Planos e Gerenciamento e outros correlatos</v>
      </c>
      <c r="B49" s="91" t="s">
        <v>138</v>
      </c>
      <c r="C49" s="82" t="str">
        <f aca="false">CONCATENATE(A49,"-",B49)</f>
        <v>Estudos e Projetos, Planos e Gerenciamento e outros correlatos-BDI PAD</v>
      </c>
      <c r="E49" s="86" t="s">
        <v>152</v>
      </c>
      <c r="F49" s="86" t="s">
        <v>152</v>
      </c>
      <c r="G49" s="86" t="s">
        <v>152</v>
      </c>
      <c r="I49" s="42" t="str">
        <f aca="false">DADOS!A56</f>
        <v>CREA/CAU:</v>
      </c>
      <c r="J49" s="140" t="str">
        <f aca="false">DADOS!B56</f>
        <v>0600278645</v>
      </c>
      <c r="K49" s="140"/>
      <c r="L49" s="140"/>
      <c r="M49" s="141"/>
      <c r="N49" s="141"/>
      <c r="O49" s="141"/>
      <c r="P49" s="141"/>
      <c r="Q49" s="141"/>
      <c r="R49" s="141"/>
    </row>
    <row r="50" customFormat="false" ht="12.75" hidden="false" customHeight="false" outlineLevel="0" collapsed="false">
      <c r="I50" s="42" t="str">
        <f aca="false">DADOS!A57</f>
        <v>ART/RRT:</v>
      </c>
      <c r="J50" s="140" t="str">
        <f aca="false">DADOS!B57</f>
        <v>28027230181321672</v>
      </c>
      <c r="K50" s="140"/>
      <c r="L50" s="140"/>
    </row>
    <row r="51" customFormat="false" ht="12.75" hidden="false" customHeight="false" outlineLevel="0" collapsed="false"/>
    <row r="52" customFormat="false" ht="12.75" hidden="true" customHeight="false" outlineLevel="0" collapsed="false">
      <c r="A52" s="82" t="s">
        <v>131</v>
      </c>
    </row>
    <row r="53" customFormat="false" ht="12.75" hidden="true" customHeight="false" outlineLevel="0" collapsed="false">
      <c r="A53" s="82" t="s">
        <v>139</v>
      </c>
    </row>
    <row r="54" customFormat="false" ht="12.75" hidden="true" customHeight="false" outlineLevel="0" collapsed="false">
      <c r="A54" s="82" t="s">
        <v>143</v>
      </c>
    </row>
    <row r="55" customFormat="false" ht="12.75" hidden="true" customHeight="false" outlineLevel="0" collapsed="false">
      <c r="A55" s="82" t="s">
        <v>153</v>
      </c>
    </row>
    <row r="56" customFormat="false" ht="12.75" hidden="true" customHeight="false" outlineLevel="0" collapsed="false">
      <c r="A56" s="82" t="s">
        <v>161</v>
      </c>
    </row>
    <row r="57" customFormat="false" ht="12.75" hidden="true" customHeight="false" outlineLevel="0" collapsed="false">
      <c r="A57" s="82" t="s">
        <v>169</v>
      </c>
    </row>
    <row r="58" customFormat="false" ht="12.75" hidden="true" customHeight="false" outlineLevel="0" collapsed="false">
      <c r="A58" s="82" t="s">
        <v>183</v>
      </c>
    </row>
    <row r="59" customFormat="false" ht="12.75" hidden="true" customHeight="false" outlineLevel="0" collapsed="false">
      <c r="A59" s="82" t="s">
        <v>173</v>
      </c>
    </row>
    <row r="60" customFormat="false" ht="14.25" hidden="true" customHeight="false" outlineLevel="0" collapsed="false"/>
  </sheetData>
  <sheetProtection sheet="true" password="c95b" objects="true" scenarios="true"/>
  <mergeCells count="55">
    <mergeCell ref="I4:J4"/>
    <mergeCell ref="K4:R4"/>
    <mergeCell ref="I5:J5"/>
    <mergeCell ref="K5:R5"/>
    <mergeCell ref="I7:R7"/>
    <mergeCell ref="I8:R8"/>
    <mergeCell ref="I10:P10"/>
    <mergeCell ref="Q10:R10"/>
    <mergeCell ref="I11:P11"/>
    <mergeCell ref="Q11:R11"/>
    <mergeCell ref="I13:P13"/>
    <mergeCell ref="Q13:R13"/>
    <mergeCell ref="I14:P14"/>
    <mergeCell ref="Q14:R14"/>
    <mergeCell ref="I16:L17"/>
    <mergeCell ref="M16:M17"/>
    <mergeCell ref="N16:N17"/>
    <mergeCell ref="O16:O17"/>
    <mergeCell ref="P16:P17"/>
    <mergeCell ref="Q16:Q17"/>
    <mergeCell ref="R16:R17"/>
    <mergeCell ref="T16:U24"/>
    <mergeCell ref="I18:L18"/>
    <mergeCell ref="I19:L19"/>
    <mergeCell ref="I20:L20"/>
    <mergeCell ref="I21:L21"/>
    <mergeCell ref="I22:L22"/>
    <mergeCell ref="I23:L23"/>
    <mergeCell ref="I24:L24"/>
    <mergeCell ref="I25:L25"/>
    <mergeCell ref="I26:L26"/>
    <mergeCell ref="I27:L27"/>
    <mergeCell ref="P27:R27"/>
    <mergeCell ref="J29:R29"/>
    <mergeCell ref="I31:R31"/>
    <mergeCell ref="L32:L33"/>
    <mergeCell ref="M32:O32"/>
    <mergeCell ref="P32:P33"/>
    <mergeCell ref="M33:O33"/>
    <mergeCell ref="I35:R35"/>
    <mergeCell ref="I37:R37"/>
    <mergeCell ref="I40:R40"/>
    <mergeCell ref="I42:L42"/>
    <mergeCell ref="O42:R42"/>
    <mergeCell ref="I43:L43"/>
    <mergeCell ref="I45:L45"/>
    <mergeCell ref="O45:R45"/>
    <mergeCell ref="I46:L46"/>
    <mergeCell ref="O46:R46"/>
    <mergeCell ref="J47:L47"/>
    <mergeCell ref="P47:R47"/>
    <mergeCell ref="J48:L48"/>
    <mergeCell ref="P48:R48"/>
    <mergeCell ref="J49:L49"/>
    <mergeCell ref="J50:L50"/>
  </mergeCells>
  <conditionalFormatting sqref="O42">
    <cfRule type="expression" priority="2" aboveAverage="0" equalAverage="0" bottom="0" percent="0" rank="0" text="" dxfId="8">
      <formula>$O$42=""</formula>
    </cfRule>
  </conditionalFormatting>
  <conditionalFormatting sqref="O18:O27">
    <cfRule type="expression" priority="3" aboveAverage="0" equalAverage="0" bottom="0" percent="0" rank="0" text="" dxfId="9">
      <formula>AND(O18&lt;&gt;"OK",O18&lt;&gt;"-",O18&lt;&gt;"")</formula>
    </cfRule>
    <cfRule type="cellIs" priority="4" operator="equal" aboveAverage="0" equalAverage="0" bottom="0" percent="0" rank="0" text="" dxfId="10">
      <formula>"OK"</formula>
    </cfRule>
  </conditionalFormatting>
  <conditionalFormatting sqref="I26:N26">
    <cfRule type="expression" priority="5" aboveAverage="0" equalAverage="0" bottom="0" percent="0" rank="0" text="" dxfId="11">
      <formula>$Q$11="Não"</formula>
    </cfRule>
  </conditionalFormatting>
  <conditionalFormatting sqref="I27:N27">
    <cfRule type="expression" priority="6" aboveAverage="0" equalAverage="0" bottom="0" percent="0" rank="0" text="" dxfId="12">
      <formula>$Q$11="sim"</formula>
    </cfRule>
  </conditionalFormatting>
  <conditionalFormatting sqref="P27:R27">
    <cfRule type="expression" priority="7" aboveAverage="0" equalAverage="0" bottom="0" percent="0" rank="0" text="" dxfId="13">
      <formula>$Q$11="sim"</formula>
    </cfRule>
  </conditionalFormatting>
  <conditionalFormatting sqref="P47:R48">
    <cfRule type="expression" priority="8" aboveAverage="0" equalAverage="0" bottom="0" percent="0" rank="0" text="" dxfId="14">
      <formula>P47=""</formula>
    </cfRule>
  </conditionalFormatting>
  <conditionalFormatting sqref="I29:R29">
    <cfRule type="expression" priority="9" aboveAverage="0" equalAverage="0" bottom="0" percent="0" rank="0" text="" dxfId="15">
      <formula>AND(NOT($V$27),NOT($V$29))</formula>
    </cfRule>
  </conditionalFormatting>
  <conditionalFormatting sqref="P18:R26">
    <cfRule type="expression" priority="10" aboveAverage="0" equalAverage="0" bottom="0" percent="0" rank="0" text="" dxfId="16">
      <formula>$I$11=$A$58</formula>
    </cfRule>
  </conditionalFormatting>
  <dataValidations count="6">
    <dataValidation allowBlank="true" operator="between" showDropDown="false" showErrorMessage="true" showInputMessage="true" sqref="I11:P11" type="list">
      <formula1>$A$52:$A$59</formula1>
      <formula2>0</formula2>
    </dataValidation>
    <dataValidation allowBlank="true" error="Digite um valor igual a 0% ou 2%." errorTitle="Erro de valores" operator="greaterThanOrEqual" showDropDown="false" showErrorMessage="true" showInputMessage="true" sqref="N25" type="none">
      <formula1>0</formula1>
      <formula2>0</formula2>
    </dataValidation>
    <dataValidation allowBlank="true" error="Digite um valor maior do que 0." errorTitle="Erro de valores" operator="between" showDropDown="false" showErrorMessage="true" showInputMessage="true" sqref="N24" type="decimal">
      <formula1>0</formula1>
      <formula2>1</formula2>
    </dataValidation>
    <dataValidation allowBlank="true" error="Digite um percentual entre 0% e 100%." errorTitle="Valor não permitido" operator="between" prompt="Insira valores entre 0 e 100%." promptTitle="Valores admissíveis:" showDropDown="false" showErrorMessage="true" showInputMessage="true" sqref="Q13:R13" type="decimal">
      <formula1>0</formula1>
      <formula2>1</formula2>
    </dataValidation>
    <dataValidation allowBlank="true" error="Digite um percentual entre 0% e 100%." errorTitle="Valor não permitido" operator="greaterThanOrEqual" prompt="Normalmente entre 2 e 5%." promptTitle="Valores comuns:" showDropDown="false" showErrorMessage="true" showInputMessage="true" sqref="Q14:R14" type="decimal">
      <formula1>0</formula1>
      <formula2>0</formula2>
    </dataValidation>
    <dataValidation allowBlank="true" error="Digite um valor entre 0% e 100%" errorTitle="Erro de valores" operator="between" showDropDown="false" showErrorMessage="true" showInputMessage="true" sqref="N18:N23" type="decimal">
      <formula1>0</formula1>
      <formula2>1</formula2>
    </dataValidation>
  </dataValidations>
  <printOptions headings="false" gridLines="false" gridLinesSet="true" horizontalCentered="false" verticalCentered="false"/>
  <pageMargins left="0.7875" right="0.7875" top="0.786805555555556" bottom="0.786805555555556" header="0.590277777777778" footer="0.590277777777778"/>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&amp;C&amp;14I</oddHeader>
    <oddFooter>&amp;L27.476 v007   micro&amp;R&amp;P</oddFooter>
  </headerFooter>
  <drawing r:id="rId1"/>
</worksheet>
</file>

<file path=xl/worksheets/sheet3.xml><?xml version="1.0" encoding="utf-8"?>
<worksheet xmlns="http://schemas.openxmlformats.org/spreadsheetml/2006/main" xmlns:r="http://schemas.openxmlformats.org/officeDocument/2006/relationships">
  <sheetPr filterMode="false">
    <pageSetUpPr fitToPage="true"/>
  </sheetPr>
  <dimension ref="A1:AA46"/>
  <sheetViews>
    <sheetView showFormulas="false" showGridLines="false" showRowColHeaders="true" showZeros="true" rightToLeft="false" tabSelected="false" showOutlineSymbols="true" defaultGridColor="true" view="normal" topLeftCell="J1" colorId="64" zoomScale="80" zoomScaleNormal="80" zoomScalePageLayoutView="100" workbookViewId="0">
      <pane xSplit="0" ySplit="12" topLeftCell="A13" activePane="bottomLeft" state="frozen"/>
      <selection pane="topLeft" activeCell="J1" activeCellId="0" sqref="J1"/>
      <selection pane="bottomLeft" activeCell="N26" activeCellId="0" sqref="N26"/>
    </sheetView>
  </sheetViews>
  <sheetFormatPr defaultRowHeight="12.75" zeroHeight="false" outlineLevelRow="0" outlineLevelCol="0"/>
  <cols>
    <col collapsed="false" customWidth="true" hidden="true" outlineLevel="0" max="2" min="1" style="0" width="6.71"/>
    <col collapsed="false" customWidth="true" hidden="true" outlineLevel="0" max="7" min="3" style="0" width="5.7"/>
    <col collapsed="false" customWidth="true" hidden="true" outlineLevel="0" max="9" min="8" style="0" width="6.71"/>
    <col collapsed="false" customWidth="true" hidden="false" outlineLevel="0" max="10" min="10" style="0" width="8.71"/>
    <col collapsed="false" customWidth="true" hidden="false" outlineLevel="0" max="11" min="11" style="0" width="12.71"/>
    <col collapsed="false" customWidth="true" hidden="false" outlineLevel="0" max="13" min="12" style="0" width="15.71"/>
    <col collapsed="false" customWidth="true" hidden="false" outlineLevel="0" max="14" min="14" style="0" width="80.71"/>
    <col collapsed="false" customWidth="true" hidden="false" outlineLevel="0" max="15" min="15" style="0" width="10.71"/>
    <col collapsed="false" customWidth="true" hidden="false" outlineLevel="0" max="17" min="16" style="0" width="15.71"/>
    <col collapsed="false" customWidth="true" hidden="false" outlineLevel="0" max="18" min="18" style="0" width="10.71"/>
    <col collapsed="false" customWidth="true" hidden="false" outlineLevel="0" max="21" min="19" style="0" width="15.71"/>
    <col collapsed="false" customWidth="true" hidden="true" outlineLevel="0" max="22" min="22" style="0" width="9.14"/>
    <col collapsed="false" customWidth="true" hidden="true" outlineLevel="0" max="23" min="23" style="0" width="15.71"/>
    <col collapsed="false" customWidth="true" hidden="true" outlineLevel="0" max="24" min="24" style="0" width="20.71"/>
    <col collapsed="false" customWidth="true" hidden="false" outlineLevel="0" max="25" min="25" style="0" width="15.71"/>
    <col collapsed="false" customWidth="true" hidden="false" outlineLevel="0" max="1025" min="26" style="0" width="8.67"/>
  </cols>
  <sheetData>
    <row r="1" customFormat="false" ht="12.95" hidden="false" customHeight="true" outlineLevel="0" collapsed="false">
      <c r="A1" s="143"/>
      <c r="B1" s="143"/>
      <c r="D1" s="144"/>
      <c r="E1" s="145"/>
      <c r="F1" s="143"/>
      <c r="G1" s="143"/>
      <c r="H1" s="143"/>
      <c r="I1" s="143"/>
      <c r="J1" s="146"/>
      <c r="K1" s="143"/>
      <c r="L1" s="143"/>
      <c r="M1" s="143"/>
      <c r="N1" s="147" t="s">
        <v>184</v>
      </c>
      <c r="O1" s="143"/>
      <c r="P1" s="148"/>
      <c r="Q1" s="143"/>
      <c r="R1" s="143"/>
      <c r="S1" s="143"/>
      <c r="T1" s="149" t="s">
        <v>185</v>
      </c>
      <c r="U1" s="150"/>
      <c r="V1" s="150"/>
      <c r="W1" s="150"/>
      <c r="X1" s="150"/>
      <c r="Y1" s="150"/>
      <c r="Z1" s="150"/>
      <c r="AA1" s="150"/>
    </row>
    <row r="2" customFormat="false" ht="12.75" hidden="false" customHeight="true" outlineLevel="0" collapsed="false">
      <c r="A2" s="150"/>
      <c r="B2" s="151" t="s">
        <v>186</v>
      </c>
      <c r="C2" s="151" t="s">
        <v>187</v>
      </c>
      <c r="D2" s="151" t="s">
        <v>188</v>
      </c>
      <c r="E2" s="151" t="s">
        <v>189</v>
      </c>
      <c r="F2" s="151" t="s">
        <v>190</v>
      </c>
      <c r="G2" s="151" t="s">
        <v>191</v>
      </c>
      <c r="H2" s="150"/>
      <c r="I2" s="150"/>
      <c r="J2" s="150"/>
      <c r="K2" s="150"/>
      <c r="L2" s="150"/>
      <c r="M2" s="150"/>
      <c r="N2" s="152" t="str">
        <f aca="false">CHOOSE(1+LOG(1+2*(TipoOrçamento="BASE")+4*(TipoOrçamento="LICITADO")+8*(TipoOrçamento="REPROGRAMADOAC")+16*(TipoOrçamento="REPROGRAMADONPL"),2),"nada","Orçamento Base para Licitação","Orçamento Licitado","Orçamento Licitado Reprogramado","Orçamento Base para Licitação - Reprogramado")</f>
        <v>Orçamento Base para Licitação</v>
      </c>
      <c r="O2" s="150"/>
      <c r="P2" s="150"/>
      <c r="Q2" s="150"/>
      <c r="R2" s="150"/>
      <c r="S2" s="150"/>
      <c r="T2" s="153" t="s">
        <v>192</v>
      </c>
      <c r="U2" s="150"/>
      <c r="V2" s="150"/>
      <c r="W2" s="154" t="s">
        <v>193</v>
      </c>
      <c r="X2" s="154"/>
      <c r="Y2" s="150"/>
      <c r="Z2" s="150"/>
      <c r="AA2" s="150"/>
    </row>
    <row r="3" customFormat="false" ht="12.75" hidden="false" customHeight="true" outlineLevel="0" collapsed="false">
      <c r="A3" s="150"/>
      <c r="B3" s="150"/>
      <c r="D3" s="144"/>
      <c r="F3" s="155"/>
      <c r="G3" s="150"/>
      <c r="H3" s="150"/>
      <c r="I3" s="150"/>
      <c r="J3" s="150"/>
      <c r="K3" s="150"/>
      <c r="L3" s="150"/>
      <c r="M3" s="150"/>
      <c r="N3" s="156"/>
      <c r="O3" s="150"/>
      <c r="P3" s="150"/>
      <c r="Q3" s="150"/>
      <c r="R3" s="150"/>
      <c r="S3" s="150"/>
      <c r="T3" s="150"/>
      <c r="U3" s="150"/>
      <c r="V3" s="150"/>
      <c r="W3" s="157" t="s">
        <v>194</v>
      </c>
      <c r="X3" s="158" t="n">
        <f aca="false">TRUE()</f>
        <v>1</v>
      </c>
      <c r="Y3" s="150"/>
      <c r="Z3" s="150"/>
      <c r="AA3" s="150"/>
    </row>
    <row r="4" customFormat="false" ht="24.95" hidden="false" customHeight="true" outlineLevel="0" collapsed="false">
      <c r="A4" s="150" t="s">
        <v>195</v>
      </c>
      <c r="B4" s="150"/>
      <c r="D4" s="144"/>
      <c r="F4" s="155"/>
      <c r="G4" s="150"/>
      <c r="H4" s="150"/>
      <c r="I4" s="150"/>
      <c r="J4" s="150"/>
      <c r="K4" s="150"/>
      <c r="L4" s="150"/>
      <c r="M4" s="150"/>
      <c r="N4" s="150"/>
      <c r="O4" s="150"/>
      <c r="P4" s="150"/>
      <c r="Q4" s="150"/>
      <c r="R4" s="150"/>
      <c r="S4" s="150"/>
      <c r="T4" s="150"/>
      <c r="U4" s="159" t="s">
        <v>196</v>
      </c>
      <c r="W4" s="157" t="s">
        <v>197</v>
      </c>
      <c r="X4" s="158" t="n">
        <f aca="false">TRUE()</f>
        <v>1</v>
      </c>
      <c r="Y4" s="150"/>
      <c r="Z4" s="150"/>
      <c r="AA4" s="150"/>
    </row>
    <row r="5" customFormat="false" ht="24.95" hidden="false" customHeight="true" outlineLevel="0" collapsed="false">
      <c r="A5" s="160" t="n">
        <f aca="false">MAX($A$12:$A$31)</f>
        <v>1</v>
      </c>
      <c r="B5" s="150"/>
      <c r="D5" s="144"/>
      <c r="F5" s="155"/>
      <c r="G5" s="150"/>
      <c r="H5" s="150"/>
      <c r="I5" s="150"/>
      <c r="J5" s="150"/>
      <c r="K5" s="150"/>
      <c r="L5" s="150"/>
      <c r="M5" s="150"/>
      <c r="N5" s="150"/>
      <c r="O5" s="150"/>
      <c r="P5" s="150"/>
      <c r="Q5" s="150"/>
      <c r="R5" s="150"/>
      <c r="S5" s="150"/>
      <c r="T5" s="150"/>
      <c r="U5" s="161" t="str">
        <f aca="true">IF(COUNTIF($U$12:OFFSET($U$31,-1,0),"DESCRIÇÃO")+COUNTIF($U$12:OFFSET($U$31,-1,0),"UNIDADE")+COUNTIF($U$12:OFFSET($U$31,-1,0),"SEM VALOR")&gt;0,"NÃO OK","OK")</f>
        <v>NÃO OK</v>
      </c>
      <c r="W5" s="157" t="s">
        <v>198</v>
      </c>
      <c r="X5" s="158" t="n">
        <f aca="false">TRUE()</f>
        <v>1</v>
      </c>
      <c r="Y5" s="150"/>
      <c r="Z5" s="150"/>
      <c r="AA5" s="150"/>
    </row>
    <row r="6" customFormat="false" ht="24.95" hidden="false" customHeight="true" outlineLevel="0" collapsed="false">
      <c r="A6" s="150"/>
      <c r="B6" s="150"/>
      <c r="D6" s="144"/>
      <c r="F6" s="155"/>
      <c r="G6" s="150"/>
      <c r="H6" s="150"/>
      <c r="I6" s="150"/>
      <c r="J6" s="150"/>
      <c r="K6" s="62"/>
      <c r="L6" s="150"/>
      <c r="M6" s="150"/>
      <c r="N6" s="150"/>
      <c r="O6" s="150"/>
      <c r="P6" s="150"/>
      <c r="Q6" s="150"/>
      <c r="R6" s="150"/>
      <c r="S6" s="150"/>
      <c r="T6" s="150"/>
      <c r="U6" s="150"/>
      <c r="V6" s="150"/>
      <c r="W6" s="157" t="s">
        <v>199</v>
      </c>
      <c r="X6" s="158" t="n">
        <f aca="false">TRUE()</f>
        <v>1</v>
      </c>
      <c r="Y6" s="150"/>
      <c r="Z6" s="150"/>
      <c r="AA6" s="150"/>
    </row>
    <row r="7" customFormat="false" ht="24.95" hidden="false" customHeight="true" outlineLevel="0" collapsed="false">
      <c r="A7" s="150"/>
      <c r="B7" s="150"/>
      <c r="C7" s="151"/>
      <c r="D7" s="144"/>
      <c r="E7" s="155"/>
      <c r="F7" s="155"/>
      <c r="G7" s="150"/>
      <c r="H7" s="150"/>
      <c r="I7" s="150"/>
      <c r="J7" s="150"/>
      <c r="K7" s="62"/>
      <c r="L7" s="150"/>
      <c r="M7" s="150"/>
      <c r="N7" s="150"/>
      <c r="O7" s="150"/>
      <c r="P7" s="150"/>
      <c r="Q7" s="150"/>
      <c r="R7" s="150"/>
      <c r="S7" s="150"/>
      <c r="T7" s="150"/>
      <c r="U7" s="150"/>
      <c r="V7" s="150"/>
      <c r="W7" s="157" t="s">
        <v>200</v>
      </c>
      <c r="X7" s="158" t="n">
        <f aca="false">TRUE()</f>
        <v>1</v>
      </c>
      <c r="Y7" s="150"/>
      <c r="Z7" s="150"/>
      <c r="AA7" s="150"/>
    </row>
    <row r="8" customFormat="false" ht="30" hidden="false" customHeight="true" outlineLevel="0" collapsed="false">
      <c r="A8" s="150"/>
      <c r="B8" s="150"/>
      <c r="C8" s="151"/>
      <c r="D8" s="151"/>
      <c r="E8" s="155"/>
      <c r="F8" s="155"/>
      <c r="G8" s="150"/>
      <c r="H8" s="150"/>
      <c r="I8" s="150"/>
      <c r="J8" s="150"/>
      <c r="K8" s="150"/>
      <c r="L8" s="150"/>
      <c r="M8" s="150"/>
      <c r="N8" s="150"/>
      <c r="O8" s="150"/>
      <c r="P8" s="150"/>
      <c r="Q8" s="150"/>
      <c r="R8" s="150"/>
      <c r="S8" s="150"/>
      <c r="T8" s="150"/>
      <c r="U8" s="150"/>
      <c r="V8" s="150"/>
      <c r="W8" s="150"/>
      <c r="X8" s="150"/>
      <c r="Y8" s="150"/>
      <c r="Z8" s="150"/>
      <c r="AA8" s="150"/>
    </row>
    <row r="9" customFormat="false" ht="12.75" hidden="true" customHeight="true" outlineLevel="0" collapsed="false">
      <c r="A9" s="150"/>
      <c r="B9" s="150"/>
      <c r="C9" s="151"/>
      <c r="D9" s="151"/>
      <c r="E9" s="155"/>
      <c r="F9" s="155"/>
      <c r="G9" s="150"/>
      <c r="H9" s="150"/>
      <c r="I9" s="150"/>
      <c r="J9" s="150"/>
      <c r="K9" s="150"/>
      <c r="L9" s="150"/>
      <c r="M9" s="150"/>
      <c r="N9" s="150"/>
      <c r="O9" s="150"/>
      <c r="P9" s="162" t="str">
        <f aca="true">OFFSET(PLQ!$E$12,ROW($P9)-ROW(P$12),0)</f>
        <v>-</v>
      </c>
      <c r="Q9" s="150"/>
      <c r="R9" s="150"/>
      <c r="S9" s="150"/>
      <c r="T9" s="150"/>
      <c r="U9" s="150"/>
      <c r="V9" s="150"/>
      <c r="W9" s="150"/>
      <c r="X9" s="150"/>
      <c r="Y9" s="150"/>
      <c r="Z9" s="150"/>
      <c r="AA9" s="150"/>
    </row>
    <row r="10" customFormat="false" ht="30" hidden="false" customHeight="true" outlineLevel="0" collapsed="false">
      <c r="A10" s="163" t="s">
        <v>201</v>
      </c>
      <c r="B10" s="163" t="s">
        <v>202</v>
      </c>
      <c r="C10" s="163" t="s">
        <v>203</v>
      </c>
      <c r="D10" s="163" t="s">
        <v>204</v>
      </c>
      <c r="E10" s="163" t="s">
        <v>205</v>
      </c>
      <c r="F10" s="163" t="s">
        <v>206</v>
      </c>
      <c r="G10" s="163" t="s">
        <v>207</v>
      </c>
      <c r="H10" s="163" t="s">
        <v>208</v>
      </c>
      <c r="I10" s="163" t="s">
        <v>209</v>
      </c>
      <c r="J10" s="163" t="s">
        <v>201</v>
      </c>
      <c r="K10" s="163" t="s">
        <v>210</v>
      </c>
      <c r="L10" s="163" t="s">
        <v>211</v>
      </c>
      <c r="M10" s="163" t="s">
        <v>212</v>
      </c>
      <c r="N10" s="163" t="s">
        <v>213</v>
      </c>
      <c r="O10" s="164" t="s">
        <v>214</v>
      </c>
      <c r="P10" s="163" t="s">
        <v>194</v>
      </c>
      <c r="Q10" s="163" t="str">
        <f aca="false">IF(OR(TipoOrçamento="LICITADO",TipoOrçamento="REPROGRAMADOAC"),"Preço Unitário (R$)","Custo Unitário (R$)")</f>
        <v>Custo Unitário (R$)</v>
      </c>
      <c r="R10" s="163" t="s">
        <v>215</v>
      </c>
      <c r="S10" s="163" t="s">
        <v>216</v>
      </c>
      <c r="T10" s="163" t="s">
        <v>217</v>
      </c>
      <c r="U10" s="163" t="s">
        <v>218</v>
      </c>
      <c r="V10" s="165" t="s">
        <v>219</v>
      </c>
      <c r="W10" s="165" t="s">
        <v>220</v>
      </c>
      <c r="X10" s="165" t="s">
        <v>221</v>
      </c>
      <c r="Y10" s="166" t="str">
        <f aca="false">IF(TipoOrçamento="LICITADO","Preço Unitário Edital (R$)","Custo Unitário Referência (R$)")</f>
        <v>Custo Unitário Referência (R$)</v>
      </c>
      <c r="Z10" s="167" t="str">
        <f aca="false">IF(TipoOrçamento="LICITADO","Valor BDI Edital","Valor BDI")</f>
        <v>Valor BDI</v>
      </c>
      <c r="AA10" s="150"/>
    </row>
    <row r="11" customFormat="false" ht="12.75" hidden="true" customHeight="true" outlineLevel="0" collapsed="false">
      <c r="A11" s="0" t="str">
        <f aca="false">CHOOSE(1+LOG(1+2*(J11="Meta")+4*(J11="Nível 2")+8*(J11="Nível 3")+16*(J11="Nível 4")+32*(J11="Serviço"),2),0,1,2,3,4,"S")</f>
        <v>S</v>
      </c>
      <c r="B11" s="0" t="n">
        <f aca="false">IF(OR(A11="S",A11=0),0,IF(ISERROR(I11),H11,SMALL(H11:I11,1)))</f>
        <v>0</v>
      </c>
      <c r="C11" s="0" t="str">
        <f aca="true">IF($A11=1,OFFSET(C11,-1,0)+1,OFFSET(C11,-1,0))</f>
        <v>n1</v>
      </c>
      <c r="D11" s="0" t="str">
        <f aca="true">IF($A11=1,0,IF($A11=2,OFFSET(D11,-1,0)+1,OFFSET(D11,-1,0)))</f>
        <v>n2</v>
      </c>
      <c r="E11" s="0" t="str">
        <f aca="true">IF(AND($A11&lt;=2,$A11&lt;&gt;0),0,IF($A11=3,OFFSET(E11,-1,0)+1,OFFSET(E11,-1,0)))</f>
        <v>n3</v>
      </c>
      <c r="F11" s="0" t="str">
        <f aca="true">IF(AND($A11&lt;=3,$A11&lt;&gt;0),0,IF($A11=4,OFFSET(F11,-1,0)+1,OFFSET(F11,-1,0)))</f>
        <v>n4</v>
      </c>
      <c r="G11" s="0" t="e">
        <f aca="true">IF(AND($A11&lt;=4,$A11&lt;&gt;0),0,IF($A11="S",OFFSET(G11,-1,0)+1,OFFSET(G11,-1,0)))</f>
        <v>#VALUE!</v>
      </c>
      <c r="H11" s="0" t="n">
        <f aca="true">IF(OR($A11="S",$A11=0),0,MATCH(0,OFFSET($B11,1,$A11,ROW($A$31)-ROW($A11)),0))</f>
        <v>0</v>
      </c>
      <c r="I11" s="0" t="n">
        <f aca="true">IF(OR($A11="S",$A11=0),0,MATCH(OFFSET($B11,0,$A11)+1,OFFSET($B11,1,$A11,ROW($A$31)-ROW($A11)),0))</f>
        <v>0</v>
      </c>
      <c r="J11" s="168" t="s">
        <v>191</v>
      </c>
      <c r="K11" s="169" t="e">
        <f aca="false">IF($A11=0,"-",CONCATENATE(C11&amp;".",IF(AND($A$5&gt;=2,$A11&gt;=2),D11&amp;".",""),IF(AND($A$5&gt;=3,$A11&gt;=3),E11&amp;".",""),IF(AND($A$5&gt;=4,$A11&gt;=4),F11&amp;".",""),IF($A11="S",G11&amp;".","")))</f>
        <v>#VALUE!</v>
      </c>
      <c r="L11" s="170"/>
      <c r="M11" s="170"/>
      <c r="N11" s="171" t="str">
        <f aca="true">IF($A11="S",Referencia.Descricao,"(digite a descrição aqui)")</f>
        <v/>
      </c>
      <c r="O11" s="172" t="str">
        <f aca="true">Referencia.Unidade</f>
        <v/>
      </c>
      <c r="P11" s="173"/>
      <c r="Q11" s="174"/>
      <c r="R11" s="175" t="s">
        <v>34</v>
      </c>
      <c r="S11" s="176" t="n">
        <f aca="false">IF($A11="S",IF($Q$10="Preço Unitário (R$)",PO.CustoUnitario,ROUND(PO.CustoUnitario*(1+$Z11),15-13*$X$6)),0)</f>
        <v>0</v>
      </c>
      <c r="T11" s="177" t="n">
        <f aca="true">IF($A11="S",VTOTAL1,IF($A11=0,0,ROUND(SomaAgrup,15-13*$X$7)))</f>
        <v>0</v>
      </c>
      <c r="U11" s="178" t="str">
        <f aca="false">IF($J11="","",IF($N11="","DESCRIÇÃO",IF(AND($J11="Serviço",$O11=""),"UNIDADE",IF($T11&lt;=0,"SEM VALOR",IF(AND($Y11&lt;&gt;"",$Q11&gt;$Y11),"ACIMA REF.","")))))</f>
        <v>DESCRIÇÃO</v>
      </c>
      <c r="V11" s="150" t="str">
        <f aca="true">IF(OR($A11=0,$A11="S",$A11&gt;CFF!$A$9),"",MAX(V$12:OFFSET(V11,-1,0))+1)</f>
        <v/>
      </c>
      <c r="W11" s="160" t="n">
        <f aca="false">IF(AND($J11="Serviço",$M11&lt;&gt;""),IF($L11="",$M11,CONCATENATE($L11,"-",$M11)))</f>
        <v>0</v>
      </c>
      <c r="X11" s="150" t="str">
        <f aca="true">IF(AND(Fonte&lt;&gt;"",Código&lt;&gt;""),MATCH(Fonte&amp;" "&amp;IF(Fonte="sinapi",SUBSTITUTE(SUBSTITUTE(Código,"/00","/"),"/0","/"),Código),INDIRECT("'[Referência "&amp;_xlnm.Database&amp;".xls]Banco'!$a:$a"),0),"X")</f>
        <v>X</v>
      </c>
      <c r="Y11" s="176" t="n">
        <f aca="true">IF(Import.Desoneracao="sim",Referencia.Desonerado,Referencia.NaoDesonerado)</f>
        <v>0</v>
      </c>
      <c r="Z11" s="179" t="n">
        <f aca="false">ROUND(IF(ISNUMBER(R11),R11,IF(LEFT(R11,3)="BDI",HLOOKUP(R11,DADOS!$T$37:$X$38,2,0),0)),15-11*$X$5)</f>
        <v>0.2642</v>
      </c>
      <c r="AA11" s="150"/>
    </row>
    <row r="12" customFormat="false" ht="12.75" hidden="false" customHeight="false" outlineLevel="0" collapsed="false">
      <c r="A12" s="0" t="n">
        <v>0</v>
      </c>
      <c r="B12" s="0" t="n">
        <f aca="true">COUNTA(OFFSET(B12,1,0):B$31)</f>
        <v>18</v>
      </c>
      <c r="J12" s="180" t="str">
        <f aca="false">IF(OR(TipoOrçamento="LICITADO",TipoOrçamento="REPROGRAMADOAC"),"CTEF","LOTE")</f>
        <v>LOTE</v>
      </c>
      <c r="K12" s="181" t="n">
        <v>0</v>
      </c>
      <c r="L12" s="182"/>
      <c r="M12" s="182"/>
      <c r="N12" s="183" t="n">
        <f aca="false">IF(TipoOrçamento="LICITADO",DADOS!O43,DADOS!G38)</f>
        <v>0</v>
      </c>
      <c r="O12" s="182"/>
      <c r="P12" s="184"/>
      <c r="Q12" s="184"/>
      <c r="R12" s="185"/>
      <c r="S12" s="184"/>
      <c r="T12" s="186" t="n">
        <f aca="true">SUMIF(OFFSET($J12,1,0,ROW(T31)-ROW(T12)-1),"Serviço",OFFSET(T12,1,0,ROW(T31)-ROW(T12)-1))</f>
        <v>0</v>
      </c>
      <c r="U12" s="178" t="str">
        <f aca="false">IF($N12=0,"DESCRIÇÃO","")</f>
        <v>DESCRIÇÃO</v>
      </c>
      <c r="V12" s="150" t="n">
        <v>0</v>
      </c>
      <c r="W12" s="150"/>
      <c r="X12" s="150"/>
      <c r="Y12" s="184"/>
      <c r="Z12" s="187"/>
      <c r="AA12" s="150"/>
    </row>
    <row r="13" customFormat="false" ht="12.75" hidden="false" customHeight="false" outlineLevel="0" collapsed="false">
      <c r="A13" s="0" t="n">
        <f aca="false">CHOOSE(1+LOG(1+2*(J13="Meta")+4*(J13="Nível 2")+8*(J13="Nível 3")+16*(J13="Nível 4")+32*(J13="Serviço"),2),0,1,2,3,4,"S")</f>
        <v>1</v>
      </c>
      <c r="B13" s="0" t="n">
        <f aca="false">IF(OR(A13="S",A13=0),0,IF(ISERROR(I13),H13,SMALL(H13:I13,1)))</f>
        <v>18</v>
      </c>
      <c r="C13" s="0" t="n">
        <f aca="true">IF($A13=1,OFFSET(C13,-1,0)+1,OFFSET(C13,-1,0))</f>
        <v>1</v>
      </c>
      <c r="D13" s="0" t="n">
        <f aca="true">IF($A13=1,0,IF($A13=2,OFFSET(D13,-1,0)+1,OFFSET(D13,-1,0)))</f>
        <v>0</v>
      </c>
      <c r="E13" s="0" t="n">
        <f aca="true">IF(AND($A13&lt;=2,$A13&lt;&gt;0),0,IF($A13=3,OFFSET(E13,-1,0)+1,OFFSET(E13,-1,0)))</f>
        <v>0</v>
      </c>
      <c r="F13" s="0" t="n">
        <f aca="true">IF(AND($A13&lt;=3,$A13&lt;&gt;0),0,IF($A13=4,OFFSET(F13,-1,0)+1,OFFSET(F13,-1,0)))</f>
        <v>0</v>
      </c>
      <c r="G13" s="0" t="n">
        <f aca="true">IF(AND($A13&lt;=4,$A13&lt;&gt;0),0,IF($A13="S",OFFSET(G13,-1,0)+1,OFFSET(G13,-1,0)))</f>
        <v>0</v>
      </c>
      <c r="H13" s="0" t="n">
        <f aca="true">IF(OR($A13="S",$A13=0),0,MATCH(0,OFFSET($B13,1,$A13,ROW($A$31)-ROW($A13)),0))</f>
        <v>18</v>
      </c>
      <c r="I13" s="0" t="e">
        <f aca="true">IF(OR($A13="S",$A13=0),0,MATCH(OFFSET($B13,0,$A13)+1,OFFSET($B13,1,$A13,ROW($A$31)-ROW($A13)),0))</f>
        <v>#N/A</v>
      </c>
      <c r="J13" s="188" t="s">
        <v>187</v>
      </c>
      <c r="K13" s="169" t="str">
        <f aca="false">IF($A13=0,"-",CONCATENATE(C13&amp;".",IF(AND($A$5&gt;=2,$A13&gt;=2),D13&amp;".",""),IF(AND($A$5&gt;=3,$A13&gt;=3),E13&amp;".",""),IF(AND($A$5&gt;=4,$A13&gt;=4),F13&amp;".",""),IF($A13="S",G13&amp;".","")))</f>
        <v>1.</v>
      </c>
      <c r="L13" s="170"/>
      <c r="M13" s="170"/>
      <c r="N13" s="171" t="str">
        <f aca="true">IF($A13="S",Referencia.Descricao,"(digite a descrição aqui)")</f>
        <v>(digite a descrição aqui)</v>
      </c>
      <c r="O13" s="172" t="str">
        <f aca="true">Referencia.Unidade</f>
        <v/>
      </c>
      <c r="P13" s="173" t="n">
        <v>0</v>
      </c>
      <c r="Q13" s="174"/>
      <c r="R13" s="175" t="s">
        <v>34</v>
      </c>
      <c r="S13" s="176" t="n">
        <f aca="false">IF($A13="S",IF($Q$10="Preço Unitário (R$)",PO.CustoUnitario,ROUND(PO.CustoUnitario*(1+$Z13),15-13*$X$6)),0)</f>
        <v>0</v>
      </c>
      <c r="T13" s="177" t="n">
        <f aca="true">IF($A13="S",VTOTAL1,IF($A13=0,0,ROUND(SomaAgrup,15-13*$X$7)))</f>
        <v>0</v>
      </c>
      <c r="U13" s="178" t="str">
        <f aca="false">IF($J13="","",IF($N13="","DESCRIÇÃO",IF(AND($J13="Serviço",$O13=""),"UNIDADE",IF($T13&lt;=0,"SEM VALOR",IF(AND($Y13&lt;&gt;"",$Q13&gt;$Y13),"ACIMA REF.","")))))</f>
        <v>SEM VALOR</v>
      </c>
      <c r="V13" s="150" t="n">
        <f aca="true">IF(OR($A13=0,$A13="S",$A13&gt;CFF!$A$9),"",MAX(V$12:OFFSET(V13,-1,0))+1)</f>
        <v>1</v>
      </c>
      <c r="W13" s="160" t="n">
        <f aca="false">IF(AND($J13="Serviço",$M13&lt;&gt;""),IF($L13="",$M13,CONCATENATE($L13,"-",$M13)))</f>
        <v>0</v>
      </c>
      <c r="X13" s="150" t="str">
        <f aca="true">IF(AND(Fonte&lt;&gt;"",Código&lt;&gt;""),MATCH(Fonte&amp;" "&amp;IF(Fonte="sinapi",SUBSTITUTE(SUBSTITUTE(Código,"/00","/"),"/0","/"),Código),INDIRECT("'[Referência "&amp;_xlnm.Database&amp;".xls]Banco'!$a:$a"),0),"X")</f>
        <v>X</v>
      </c>
      <c r="Y13" s="176" t="n">
        <f aca="true">IF(Import.Desoneracao="sim",Referencia.Desonerado,Referencia.NaoDesonerado)</f>
        <v>0</v>
      </c>
      <c r="Z13" s="179" t="n">
        <f aca="false">ROUND(IF(ISNUMBER(R13),R13,IF(LEFT(R13,3)="BDI",HLOOKUP(R13,DADOS!$T$37:$X$38,2,0),0)),15-11*$X$5)</f>
        <v>0.2642</v>
      </c>
      <c r="AA13" s="150"/>
    </row>
    <row r="14" customFormat="false" ht="12.75" hidden="false" customHeight="true" outlineLevel="0" collapsed="false">
      <c r="A14" s="0" t="str">
        <f aca="false">CHOOSE(1+LOG(1+2*(J14="Meta")+4*(J14="Nível 2")+8*(J14="Nível 3")+16*(J14="Nível 4")+32*(J14="Serviço"),2),0,1,2,3,4,"S")</f>
        <v>S</v>
      </c>
      <c r="B14" s="0" t="n">
        <f aca="false">IF(OR(A14="S",A14=0),0,IF(ISERROR(I14),H14,SMALL(H14:I14,1)))</f>
        <v>0</v>
      </c>
      <c r="C14" s="0" t="n">
        <f aca="true">IF($A14=1,OFFSET(C14,-1,0)+1,OFFSET(C14,-1,0))</f>
        <v>1</v>
      </c>
      <c r="D14" s="0" t="n">
        <f aca="true">IF($A14=1,0,IF($A14=2,OFFSET(D14,-1,0)+1,OFFSET(D14,-1,0)))</f>
        <v>0</v>
      </c>
      <c r="E14" s="0" t="n">
        <f aca="true">IF(AND($A14&lt;=2,$A14&lt;&gt;0),0,IF($A14=3,OFFSET(E14,-1,0)+1,OFFSET(E14,-1,0)))</f>
        <v>0</v>
      </c>
      <c r="F14" s="0" t="n">
        <f aca="true">IF(AND($A14&lt;=3,$A14&lt;&gt;0),0,IF($A14=4,OFFSET(F14,-1,0)+1,OFFSET(F14,-1,0)))</f>
        <v>0</v>
      </c>
      <c r="G14" s="0" t="n">
        <f aca="true">IF(AND($A14&lt;=4,$A14&lt;&gt;0),0,IF($A14="S",OFFSET(G14,-1,0)+1,OFFSET(G14,-1,0)))</f>
        <v>1</v>
      </c>
      <c r="H14" s="0" t="n">
        <f aca="true">IF(OR($A14="S",$A14=0),0,MATCH(0,OFFSET($B14,1,$A14,ROW($A$31)-ROW($A14)),0))</f>
        <v>0</v>
      </c>
      <c r="I14" s="0" t="n">
        <f aca="true">IF(OR($A14="S",$A14=0),0,MATCH(OFFSET($B14,0,$A14)+1,OFFSET($B14,1,$A14,ROW($A$31)-ROW($A14)),0))</f>
        <v>0</v>
      </c>
      <c r="J14" s="168" t="s">
        <v>191</v>
      </c>
      <c r="K14" s="169" t="str">
        <f aca="false">IF($A14=0,"-",CONCATENATE(C14&amp;".",IF(AND($A$5&gt;=2,$A14&gt;=2),D14&amp;".",""),IF(AND($A$5&gt;=3,$A14&gt;=3),E14&amp;".",""),IF(AND($A$5&gt;=4,$A14&gt;=4),F14&amp;".",""),IF($A14="S",G14&amp;".","")))</f>
        <v>1.1.</v>
      </c>
      <c r="L14" s="170"/>
      <c r="M14" s="170"/>
      <c r="N14" s="171" t="str">
        <f aca="true">IF($A14="S",Referencia.Descricao,"(digite a descrição aqui)")</f>
        <v/>
      </c>
      <c r="O14" s="172" t="str">
        <f aca="true">Referencia.Unidade</f>
        <v/>
      </c>
      <c r="P14" s="173" t="n">
        <v>0</v>
      </c>
      <c r="Q14" s="174"/>
      <c r="R14" s="175" t="s">
        <v>34</v>
      </c>
      <c r="S14" s="176" t="n">
        <f aca="false">IF($A14="S",IF($Q$10="Preço Unitário (R$)",PO.CustoUnitario,ROUND(PO.CustoUnitario*(1+$Z14),15-13*$X$6)),0)</f>
        <v>0</v>
      </c>
      <c r="T14" s="177" t="n">
        <f aca="true">IF($A14="S",VTOTAL1,IF($A14=0,0,ROUND(SomaAgrup,15-13*$X$7)))</f>
        <v>0</v>
      </c>
      <c r="U14" s="178" t="str">
        <f aca="false">IF($J14="","",IF($N14="","DESCRIÇÃO",IF(AND($J14="Serviço",$O14=""),"UNIDADE",IF($T14&lt;=0,"SEM VALOR",IF(AND($Y14&lt;&gt;"",$Q14&gt;$Y14),"ACIMA REF.","")))))</f>
        <v>DESCRIÇÃO</v>
      </c>
      <c r="V14" s="150" t="str">
        <f aca="true">IF(OR($A14=0,$A14="S",$A14&gt;CFF!$A$9),"",MAX(V$12:OFFSET(V14,-1,0))+1)</f>
        <v/>
      </c>
      <c r="W14" s="160" t="n">
        <f aca="false">IF(AND($J14="Serviço",$M14&lt;&gt;""),IF($L14="",$M14,CONCATENATE($L14,"-",$M14)))</f>
        <v>0</v>
      </c>
      <c r="X14" s="150" t="str">
        <f aca="true">IF(AND(Fonte&lt;&gt;"",Código&lt;&gt;""),MATCH(Fonte&amp;" "&amp;IF(Fonte="sinapi",SUBSTITUTE(SUBSTITUTE(Código,"/00","/"),"/0","/"),Código),INDIRECT("'[Referência "&amp;_xlnm.Database&amp;".xls]Banco'!$a:$a"),0),"X")</f>
        <v>X</v>
      </c>
      <c r="Y14" s="176" t="n">
        <f aca="true">IF(Import.Desoneracao="sim",Referencia.Desonerado,Referencia.NaoDesonerado)</f>
        <v>0</v>
      </c>
      <c r="Z14" s="179" t="n">
        <f aca="false">ROUND(IF(ISNUMBER(R14),R14,IF(LEFT(R14,3)="BDI",HLOOKUP(R14,DADOS!$T$37:$X$38,2,0),0)),15-11*$X$5)</f>
        <v>0.2642</v>
      </c>
      <c r="AA14" s="150"/>
    </row>
    <row r="15" customFormat="false" ht="12.75" hidden="false" customHeight="true" outlineLevel="0" collapsed="false">
      <c r="A15" s="0" t="str">
        <f aca="false">CHOOSE(1+LOG(1+2*(J15="Meta")+4*(J15="Nível 2")+8*(J15="Nível 3")+16*(J15="Nível 4")+32*(J15="Serviço"),2),0,1,2,3,4,"S")</f>
        <v>S</v>
      </c>
      <c r="B15" s="0" t="n">
        <f aca="false">IF(OR(A15="S",A15=0),0,IF(ISERROR(I15),H15,SMALL(H15:I15,1)))</f>
        <v>0</v>
      </c>
      <c r="C15" s="0" t="n">
        <f aca="true">IF($A15=1,OFFSET(C15,-1,0)+1,OFFSET(C15,-1,0))</f>
        <v>1</v>
      </c>
      <c r="D15" s="0" t="n">
        <f aca="true">IF($A15=1,0,IF($A15=2,OFFSET(D15,-1,0)+1,OFFSET(D15,-1,0)))</f>
        <v>0</v>
      </c>
      <c r="E15" s="0" t="n">
        <f aca="true">IF(AND($A15&lt;=2,$A15&lt;&gt;0),0,IF($A15=3,OFFSET(E15,-1,0)+1,OFFSET(E15,-1,0)))</f>
        <v>0</v>
      </c>
      <c r="F15" s="0" t="n">
        <f aca="true">IF(AND($A15&lt;=3,$A15&lt;&gt;0),0,IF($A15=4,OFFSET(F15,-1,0)+1,OFFSET(F15,-1,0)))</f>
        <v>0</v>
      </c>
      <c r="G15" s="0" t="n">
        <f aca="true">IF(AND($A15&lt;=4,$A15&lt;&gt;0),0,IF($A15="S",OFFSET(G15,-1,0)+1,OFFSET(G15,-1,0)))</f>
        <v>2</v>
      </c>
      <c r="H15" s="0" t="n">
        <f aca="true">IF(OR($A15="S",$A15=0),0,MATCH(0,OFFSET($B15,1,$A15,ROW($A$31)-ROW($A15)),0))</f>
        <v>0</v>
      </c>
      <c r="I15" s="0" t="n">
        <f aca="true">IF(OR($A15="S",$A15=0),0,MATCH(OFFSET($B15,0,$A15)+1,OFFSET($B15,1,$A15,ROW($A$31)-ROW($A15)),0))</f>
        <v>0</v>
      </c>
      <c r="J15" s="168" t="s">
        <v>191</v>
      </c>
      <c r="K15" s="169" t="str">
        <f aca="false">IF($A15=0,"-",CONCATENATE(C15&amp;".",IF(AND($A$5&gt;=2,$A15&gt;=2),D15&amp;".",""),IF(AND($A$5&gt;=3,$A15&gt;=3),E15&amp;".",""),IF(AND($A$5&gt;=4,$A15&gt;=4),F15&amp;".",""),IF($A15="S",G15&amp;".","")))</f>
        <v>1.2.</v>
      </c>
      <c r="L15" s="170"/>
      <c r="M15" s="170"/>
      <c r="N15" s="171" t="str">
        <f aca="true">IF($A15="S",Referencia.Descricao,"(digite a descrição aqui)")</f>
        <v/>
      </c>
      <c r="O15" s="172" t="str">
        <f aca="true">Referencia.Unidade</f>
        <v/>
      </c>
      <c r="P15" s="173" t="n">
        <v>0</v>
      </c>
      <c r="Q15" s="174"/>
      <c r="R15" s="175" t="s">
        <v>34</v>
      </c>
      <c r="S15" s="176" t="n">
        <f aca="false">IF($A15="S",IF($Q$10="Preço Unitário (R$)",PO.CustoUnitario,ROUND(PO.CustoUnitario*(1+$Z15),15-13*$X$6)),0)</f>
        <v>0</v>
      </c>
      <c r="T15" s="177" t="n">
        <f aca="true">IF($A15="S",VTOTAL1,IF($A15=0,0,ROUND(SomaAgrup,15-13*$X$7)))</f>
        <v>0</v>
      </c>
      <c r="U15" s="178" t="str">
        <f aca="false">IF($J15="","",IF($N15="","DESCRIÇÃO",IF(AND($J15="Serviço",$O15=""),"UNIDADE",IF($T15&lt;=0,"SEM VALOR",IF(AND($Y15&lt;&gt;"",$Q15&gt;$Y15),"ACIMA REF.","")))))</f>
        <v>DESCRIÇÃO</v>
      </c>
      <c r="V15" s="150" t="str">
        <f aca="true">IF(OR($A15=0,$A15="S",$A15&gt;CFF!$A$9),"",MAX(V$12:OFFSET(V15,-1,0))+1)</f>
        <v/>
      </c>
      <c r="W15" s="160" t="n">
        <f aca="false">IF(AND($J15="Serviço",$M15&lt;&gt;""),IF($L15="",$M15,CONCATENATE($L15,"-",$M15)))</f>
        <v>0</v>
      </c>
      <c r="X15" s="150" t="str">
        <f aca="true">IF(AND(Fonte&lt;&gt;"",Código&lt;&gt;""),MATCH(Fonte&amp;" "&amp;IF(Fonte="sinapi",SUBSTITUTE(SUBSTITUTE(Código,"/00","/"),"/0","/"),Código),INDIRECT("'[Referência "&amp;_xlnm.Database&amp;".xls]Banco'!$a:$a"),0),"X")</f>
        <v>X</v>
      </c>
      <c r="Y15" s="176" t="n">
        <f aca="true">IF(Import.Desoneracao="sim",Referencia.Desonerado,Referencia.NaoDesonerado)</f>
        <v>0</v>
      </c>
      <c r="Z15" s="179" t="n">
        <f aca="false">ROUND(IF(ISNUMBER(R15),R15,IF(LEFT(R15,3)="BDI",HLOOKUP(R15,DADOS!$T$37:$X$38,2,0),0)),15-11*$X$5)</f>
        <v>0.2642</v>
      </c>
      <c r="AA15" s="150"/>
    </row>
    <row r="16" customFormat="false" ht="12.75" hidden="false" customHeight="true" outlineLevel="0" collapsed="false">
      <c r="A16" s="0" t="str">
        <f aca="false">CHOOSE(1+LOG(1+2*(J16="Meta")+4*(J16="Nível 2")+8*(J16="Nível 3")+16*(J16="Nível 4")+32*(J16="Serviço"),2),0,1,2,3,4,"S")</f>
        <v>S</v>
      </c>
      <c r="B16" s="0" t="n">
        <f aca="false">IF(OR(A16="S",A16=0),0,IF(ISERROR(I16),H16,SMALL(H16:I16,1)))</f>
        <v>0</v>
      </c>
      <c r="C16" s="0" t="n">
        <f aca="true">IF($A16=1,OFFSET(C16,-1,0)+1,OFFSET(C16,-1,0))</f>
        <v>1</v>
      </c>
      <c r="D16" s="0" t="n">
        <f aca="true">IF($A16=1,0,IF($A16=2,OFFSET(D16,-1,0)+1,OFFSET(D16,-1,0)))</f>
        <v>0</v>
      </c>
      <c r="E16" s="0" t="n">
        <f aca="true">IF(AND($A16&lt;=2,$A16&lt;&gt;0),0,IF($A16=3,OFFSET(E16,-1,0)+1,OFFSET(E16,-1,0)))</f>
        <v>0</v>
      </c>
      <c r="F16" s="0" t="n">
        <f aca="true">IF(AND($A16&lt;=3,$A16&lt;&gt;0),0,IF($A16=4,OFFSET(F16,-1,0)+1,OFFSET(F16,-1,0)))</f>
        <v>0</v>
      </c>
      <c r="G16" s="0" t="n">
        <f aca="true">IF(AND($A16&lt;=4,$A16&lt;&gt;0),0,IF($A16="S",OFFSET(G16,-1,0)+1,OFFSET(G16,-1,0)))</f>
        <v>3</v>
      </c>
      <c r="H16" s="0" t="n">
        <f aca="true">IF(OR($A16="S",$A16=0),0,MATCH(0,OFFSET($B16,1,$A16,ROW($A$31)-ROW($A16)),0))</f>
        <v>0</v>
      </c>
      <c r="I16" s="0" t="n">
        <f aca="true">IF(OR($A16="S",$A16=0),0,MATCH(OFFSET($B16,0,$A16)+1,OFFSET($B16,1,$A16,ROW($A$31)-ROW($A16)),0))</f>
        <v>0</v>
      </c>
      <c r="J16" s="168" t="s">
        <v>191</v>
      </c>
      <c r="K16" s="169" t="str">
        <f aca="false">IF($A16=0,"-",CONCATENATE(C16&amp;".",IF(AND($A$5&gt;=2,$A16&gt;=2),D16&amp;".",""),IF(AND($A$5&gt;=3,$A16&gt;=3),E16&amp;".",""),IF(AND($A$5&gt;=4,$A16&gt;=4),F16&amp;".",""),IF($A16="S",G16&amp;".","")))</f>
        <v>1.3.</v>
      </c>
      <c r="L16" s="170"/>
      <c r="M16" s="170"/>
      <c r="N16" s="171" t="str">
        <f aca="true">IF($A16="S",Referencia.Descricao,"(digite a descrição aqui)")</f>
        <v/>
      </c>
      <c r="O16" s="172" t="str">
        <f aca="true">Referencia.Unidade</f>
        <v/>
      </c>
      <c r="P16" s="173" t="n">
        <v>0</v>
      </c>
      <c r="Q16" s="174"/>
      <c r="R16" s="175" t="s">
        <v>34</v>
      </c>
      <c r="S16" s="176" t="n">
        <f aca="false">IF($A16="S",IF($Q$10="Preço Unitário (R$)",PO.CustoUnitario,ROUND(PO.CustoUnitario*(1+$Z16),15-13*$X$6)),0)</f>
        <v>0</v>
      </c>
      <c r="T16" s="177" t="n">
        <f aca="true">IF($A16="S",VTOTAL1,IF($A16=0,0,ROUND(SomaAgrup,15-13*$X$7)))</f>
        <v>0</v>
      </c>
      <c r="U16" s="178" t="str">
        <f aca="false">IF($J16="","",IF($N16="","DESCRIÇÃO",IF(AND($J16="Serviço",$O16=""),"UNIDADE",IF($T16&lt;=0,"SEM VALOR",IF(AND($Y16&lt;&gt;"",$Q16&gt;$Y16),"ACIMA REF.","")))))</f>
        <v>DESCRIÇÃO</v>
      </c>
      <c r="V16" s="150" t="str">
        <f aca="true">IF(OR($A16=0,$A16="S",$A16&gt;CFF!$A$9),"",MAX(V$12:OFFSET(V16,-1,0))+1)</f>
        <v/>
      </c>
      <c r="W16" s="160" t="n">
        <f aca="false">IF(AND($J16="Serviço",$M16&lt;&gt;""),IF($L16="",$M16,CONCATENATE($L16,"-",$M16)))</f>
        <v>0</v>
      </c>
      <c r="X16" s="150" t="str">
        <f aca="true">IF(AND(Fonte&lt;&gt;"",Código&lt;&gt;""),MATCH(Fonte&amp;" "&amp;IF(Fonte="sinapi",SUBSTITUTE(SUBSTITUTE(Código,"/00","/"),"/0","/"),Código),INDIRECT("'[Referência "&amp;_xlnm.Database&amp;".xls]Banco'!$a:$a"),0),"X")</f>
        <v>X</v>
      </c>
      <c r="Y16" s="176" t="n">
        <f aca="true">IF(Import.Desoneracao="sim",Referencia.Desonerado,Referencia.NaoDesonerado)</f>
        <v>0</v>
      </c>
      <c r="Z16" s="179" t="n">
        <f aca="false">ROUND(IF(ISNUMBER(R16),R16,IF(LEFT(R16,3)="BDI",HLOOKUP(R16,DADOS!$T$37:$X$38,2,0),0)),15-11*$X$5)</f>
        <v>0.2642</v>
      </c>
      <c r="AA16" s="150"/>
    </row>
    <row r="17" customFormat="false" ht="12.75" hidden="false" customHeight="true" outlineLevel="0" collapsed="false">
      <c r="A17" s="0" t="str">
        <f aca="false">CHOOSE(1+LOG(1+2*(J17="Meta")+4*(J17="Nível 2")+8*(J17="Nível 3")+16*(J17="Nível 4")+32*(J17="Serviço"),2),0,1,2,3,4,"S")</f>
        <v>S</v>
      </c>
      <c r="B17" s="0" t="n">
        <f aca="false">IF(OR(A17="S",A17=0),0,IF(ISERROR(I17),H17,SMALL(H17:I17,1)))</f>
        <v>0</v>
      </c>
      <c r="C17" s="0" t="n">
        <f aca="true">IF($A17=1,OFFSET(C17,-1,0)+1,OFFSET(C17,-1,0))</f>
        <v>1</v>
      </c>
      <c r="D17" s="0" t="n">
        <f aca="true">IF($A17=1,0,IF($A17=2,OFFSET(D17,-1,0)+1,OFFSET(D17,-1,0)))</f>
        <v>0</v>
      </c>
      <c r="E17" s="0" t="n">
        <f aca="true">IF(AND($A17&lt;=2,$A17&lt;&gt;0),0,IF($A17=3,OFFSET(E17,-1,0)+1,OFFSET(E17,-1,0)))</f>
        <v>0</v>
      </c>
      <c r="F17" s="0" t="n">
        <f aca="true">IF(AND($A17&lt;=3,$A17&lt;&gt;0),0,IF($A17=4,OFFSET(F17,-1,0)+1,OFFSET(F17,-1,0)))</f>
        <v>0</v>
      </c>
      <c r="G17" s="0" t="n">
        <f aca="true">IF(AND($A17&lt;=4,$A17&lt;&gt;0),0,IF($A17="S",OFFSET(G17,-1,0)+1,OFFSET(G17,-1,0)))</f>
        <v>4</v>
      </c>
      <c r="H17" s="0" t="n">
        <f aca="true">IF(OR($A17="S",$A17=0),0,MATCH(0,OFFSET($B17,1,$A17,ROW($A$31)-ROW($A17)),0))</f>
        <v>0</v>
      </c>
      <c r="I17" s="0" t="n">
        <f aca="true">IF(OR($A17="S",$A17=0),0,MATCH(OFFSET($B17,0,$A17)+1,OFFSET($B17,1,$A17,ROW($A$31)-ROW($A17)),0))</f>
        <v>0</v>
      </c>
      <c r="J17" s="168" t="s">
        <v>191</v>
      </c>
      <c r="K17" s="169" t="str">
        <f aca="false">IF($A17=0,"-",CONCATENATE(C17&amp;".",IF(AND($A$5&gt;=2,$A17&gt;=2),D17&amp;".",""),IF(AND($A$5&gt;=3,$A17&gt;=3),E17&amp;".",""),IF(AND($A$5&gt;=4,$A17&gt;=4),F17&amp;".",""),IF($A17="S",G17&amp;".","")))</f>
        <v>1.4.</v>
      </c>
      <c r="L17" s="170"/>
      <c r="M17" s="170"/>
      <c r="N17" s="171" t="str">
        <f aca="true">IF($A17="S",Referencia.Descricao,"(digite a descrição aqui)")</f>
        <v/>
      </c>
      <c r="O17" s="172" t="str">
        <f aca="true">Referencia.Unidade</f>
        <v/>
      </c>
      <c r="P17" s="173" t="n">
        <v>0</v>
      </c>
      <c r="Q17" s="174"/>
      <c r="R17" s="175" t="s">
        <v>34</v>
      </c>
      <c r="S17" s="176" t="n">
        <f aca="false">IF($A17="S",IF($Q$10="Preço Unitário (R$)",PO.CustoUnitario,ROUND(PO.CustoUnitario*(1+$Z17),15-13*$X$6)),0)</f>
        <v>0</v>
      </c>
      <c r="T17" s="177" t="n">
        <f aca="true">IF($A17="S",VTOTAL1,IF($A17=0,0,ROUND(SomaAgrup,15-13*$X$7)))</f>
        <v>0</v>
      </c>
      <c r="U17" s="178" t="str">
        <f aca="false">IF($J17="","",IF($N17="","DESCRIÇÃO",IF(AND($J17="Serviço",$O17=""),"UNIDADE",IF($T17&lt;=0,"SEM VALOR",IF(AND($Y17&lt;&gt;"",$Q17&gt;$Y17),"ACIMA REF.","")))))</f>
        <v>DESCRIÇÃO</v>
      </c>
      <c r="V17" s="150" t="str">
        <f aca="true">IF(OR($A17=0,$A17="S",$A17&gt;CFF!$A$9),"",MAX(V$12:OFFSET(V17,-1,0))+1)</f>
        <v/>
      </c>
      <c r="W17" s="160" t="n">
        <f aca="false">IF(AND($J17="Serviço",$M17&lt;&gt;""),IF($L17="",$M17,CONCATENATE($L17,"-",$M17)))</f>
        <v>0</v>
      </c>
      <c r="X17" s="150" t="str">
        <f aca="true">IF(AND(Fonte&lt;&gt;"",Código&lt;&gt;""),MATCH(Fonte&amp;" "&amp;IF(Fonte="sinapi",SUBSTITUTE(SUBSTITUTE(Código,"/00","/"),"/0","/"),Código),INDIRECT("'[Referência "&amp;_xlnm.Database&amp;".xls]Banco'!$a:$a"),0),"X")</f>
        <v>X</v>
      </c>
      <c r="Y17" s="176" t="n">
        <f aca="true">IF(Import.Desoneracao="sim",Referencia.Desonerado,Referencia.NaoDesonerado)</f>
        <v>0</v>
      </c>
      <c r="Z17" s="179" t="n">
        <f aca="false">ROUND(IF(ISNUMBER(R17),R17,IF(LEFT(R17,3)="BDI",HLOOKUP(R17,DADOS!$T$37:$X$38,2,0),0)),15-11*$X$5)</f>
        <v>0.2642</v>
      </c>
      <c r="AA17" s="150"/>
    </row>
    <row r="18" customFormat="false" ht="12.75" hidden="false" customHeight="true" outlineLevel="0" collapsed="false">
      <c r="A18" s="0" t="str">
        <f aca="false">CHOOSE(1+LOG(1+2*(J18="Meta")+4*(J18="Nível 2")+8*(J18="Nível 3")+16*(J18="Nível 4")+32*(J18="Serviço"),2),0,1,2,3,4,"S")</f>
        <v>S</v>
      </c>
      <c r="B18" s="0" t="n">
        <f aca="false">IF(OR(A18="S",A18=0),0,IF(ISERROR(I18),H18,SMALL(H18:I18,1)))</f>
        <v>0</v>
      </c>
      <c r="C18" s="0" t="n">
        <f aca="true">IF($A18=1,OFFSET(C18,-1,0)+1,OFFSET(C18,-1,0))</f>
        <v>1</v>
      </c>
      <c r="D18" s="0" t="n">
        <f aca="true">IF($A18=1,0,IF($A18=2,OFFSET(D18,-1,0)+1,OFFSET(D18,-1,0)))</f>
        <v>0</v>
      </c>
      <c r="E18" s="0" t="n">
        <f aca="true">IF(AND($A18&lt;=2,$A18&lt;&gt;0),0,IF($A18=3,OFFSET(E18,-1,0)+1,OFFSET(E18,-1,0)))</f>
        <v>0</v>
      </c>
      <c r="F18" s="0" t="n">
        <f aca="true">IF(AND($A18&lt;=3,$A18&lt;&gt;0),0,IF($A18=4,OFFSET(F18,-1,0)+1,OFFSET(F18,-1,0)))</f>
        <v>0</v>
      </c>
      <c r="G18" s="0" t="n">
        <f aca="true">IF(AND($A18&lt;=4,$A18&lt;&gt;0),0,IF($A18="S",OFFSET(G18,-1,0)+1,OFFSET(G18,-1,0)))</f>
        <v>5</v>
      </c>
      <c r="H18" s="0" t="n">
        <f aca="true">IF(OR($A18="S",$A18=0),0,MATCH(0,OFFSET($B18,1,$A18,ROW($A$31)-ROW($A18)),0))</f>
        <v>0</v>
      </c>
      <c r="I18" s="0" t="n">
        <f aca="true">IF(OR($A18="S",$A18=0),0,MATCH(OFFSET($B18,0,$A18)+1,OFFSET($B18,1,$A18,ROW($A$31)-ROW($A18)),0))</f>
        <v>0</v>
      </c>
      <c r="J18" s="168" t="s">
        <v>191</v>
      </c>
      <c r="K18" s="169" t="str">
        <f aca="false">IF($A18=0,"-",CONCATENATE(C18&amp;".",IF(AND($A$5&gt;=2,$A18&gt;=2),D18&amp;".",""),IF(AND($A$5&gt;=3,$A18&gt;=3),E18&amp;".",""),IF(AND($A$5&gt;=4,$A18&gt;=4),F18&amp;".",""),IF($A18="S",G18&amp;".","")))</f>
        <v>1.5.</v>
      </c>
      <c r="L18" s="170"/>
      <c r="M18" s="170"/>
      <c r="N18" s="171" t="str">
        <f aca="true">IF($A18="S",Referencia.Descricao,"(digite a descrição aqui)")</f>
        <v/>
      </c>
      <c r="O18" s="172" t="str">
        <f aca="true">Referencia.Unidade</f>
        <v/>
      </c>
      <c r="P18" s="173" t="n">
        <v>0</v>
      </c>
      <c r="Q18" s="174"/>
      <c r="R18" s="175" t="s">
        <v>34</v>
      </c>
      <c r="S18" s="176" t="n">
        <f aca="false">IF($A18="S",IF($Q$10="Preço Unitário (R$)",PO.CustoUnitario,ROUND(PO.CustoUnitario*(1+$Z18),15-13*$X$6)),0)</f>
        <v>0</v>
      </c>
      <c r="T18" s="177" t="n">
        <f aca="true">IF($A18="S",VTOTAL1,IF($A18=0,0,ROUND(SomaAgrup,15-13*$X$7)))</f>
        <v>0</v>
      </c>
      <c r="U18" s="178" t="str">
        <f aca="false">IF($J18="","",IF($N18="","DESCRIÇÃO",IF(AND($J18="Serviço",$O18=""),"UNIDADE",IF($T18&lt;=0,"SEM VALOR",IF(AND($Y18&lt;&gt;"",$Q18&gt;$Y18),"ACIMA REF.","")))))</f>
        <v>DESCRIÇÃO</v>
      </c>
      <c r="V18" s="150" t="str">
        <f aca="true">IF(OR($A18=0,$A18="S",$A18&gt;CFF!$A$9),"",MAX(V$12:OFFSET(V18,-1,0))+1)</f>
        <v/>
      </c>
      <c r="W18" s="160" t="n">
        <f aca="false">IF(AND($J18="Serviço",$M18&lt;&gt;""),IF($L18="",$M18,CONCATENATE($L18,"-",$M18)))</f>
        <v>0</v>
      </c>
      <c r="X18" s="150" t="str">
        <f aca="true">IF(AND(Fonte&lt;&gt;"",Código&lt;&gt;""),MATCH(Fonte&amp;" "&amp;IF(Fonte="sinapi",SUBSTITUTE(SUBSTITUTE(Código,"/00","/"),"/0","/"),Código),INDIRECT("'[Referência "&amp;_xlnm.Database&amp;".xls]Banco'!$a:$a"),0),"X")</f>
        <v>X</v>
      </c>
      <c r="Y18" s="176" t="n">
        <f aca="true">IF(Import.Desoneracao="sim",Referencia.Desonerado,Referencia.NaoDesonerado)</f>
        <v>0</v>
      </c>
      <c r="Z18" s="179" t="n">
        <f aca="false">ROUND(IF(ISNUMBER(R18),R18,IF(LEFT(R18,3)="BDI",HLOOKUP(R18,DADOS!$T$37:$X$38,2,0),0)),15-11*$X$5)</f>
        <v>0.2642</v>
      </c>
      <c r="AA18" s="150"/>
    </row>
    <row r="19" customFormat="false" ht="12.75" hidden="false" customHeight="true" outlineLevel="0" collapsed="false">
      <c r="A19" s="0" t="str">
        <f aca="false">CHOOSE(1+LOG(1+2*(J19="Meta")+4*(J19="Nível 2")+8*(J19="Nível 3")+16*(J19="Nível 4")+32*(J19="Serviço"),2),0,1,2,3,4,"S")</f>
        <v>S</v>
      </c>
      <c r="B19" s="0" t="n">
        <f aca="false">IF(OR(A19="S",A19=0),0,IF(ISERROR(I19),H19,SMALL(H19:I19,1)))</f>
        <v>0</v>
      </c>
      <c r="C19" s="0" t="n">
        <f aca="true">IF($A19=1,OFFSET(C19,-1,0)+1,OFFSET(C19,-1,0))</f>
        <v>1</v>
      </c>
      <c r="D19" s="0" t="n">
        <f aca="true">IF($A19=1,0,IF($A19=2,OFFSET(D19,-1,0)+1,OFFSET(D19,-1,0)))</f>
        <v>0</v>
      </c>
      <c r="E19" s="0" t="n">
        <f aca="true">IF(AND($A19&lt;=2,$A19&lt;&gt;0),0,IF($A19=3,OFFSET(E19,-1,0)+1,OFFSET(E19,-1,0)))</f>
        <v>0</v>
      </c>
      <c r="F19" s="0" t="n">
        <f aca="true">IF(AND($A19&lt;=3,$A19&lt;&gt;0),0,IF($A19=4,OFFSET(F19,-1,0)+1,OFFSET(F19,-1,0)))</f>
        <v>0</v>
      </c>
      <c r="G19" s="0" t="n">
        <f aca="true">IF(AND($A19&lt;=4,$A19&lt;&gt;0),0,IF($A19="S",OFFSET(G19,-1,0)+1,OFFSET(G19,-1,0)))</f>
        <v>6</v>
      </c>
      <c r="H19" s="0" t="n">
        <f aca="true">IF(OR($A19="S",$A19=0),0,MATCH(0,OFFSET($B19,1,$A19,ROW($A$31)-ROW($A19)),0))</f>
        <v>0</v>
      </c>
      <c r="I19" s="0" t="n">
        <f aca="true">IF(OR($A19="S",$A19=0),0,MATCH(OFFSET($B19,0,$A19)+1,OFFSET($B19,1,$A19,ROW($A$31)-ROW($A19)),0))</f>
        <v>0</v>
      </c>
      <c r="J19" s="168" t="s">
        <v>191</v>
      </c>
      <c r="K19" s="169" t="str">
        <f aca="false">IF($A19=0,"-",CONCATENATE(C19&amp;".",IF(AND($A$5&gt;=2,$A19&gt;=2),D19&amp;".",""),IF(AND($A$5&gt;=3,$A19&gt;=3),E19&amp;".",""),IF(AND($A$5&gt;=4,$A19&gt;=4),F19&amp;".",""),IF($A19="S",G19&amp;".","")))</f>
        <v>1.6.</v>
      </c>
      <c r="L19" s="170"/>
      <c r="M19" s="170"/>
      <c r="N19" s="171" t="str">
        <f aca="true">IF($A19="S",Referencia.Descricao,"(digite a descrição aqui)")</f>
        <v/>
      </c>
      <c r="O19" s="172" t="str">
        <f aca="true">Referencia.Unidade</f>
        <v/>
      </c>
      <c r="P19" s="173" t="n">
        <v>0</v>
      </c>
      <c r="Q19" s="174"/>
      <c r="R19" s="175" t="s">
        <v>34</v>
      </c>
      <c r="S19" s="176" t="n">
        <f aca="false">IF($A19="S",IF($Q$10="Preço Unitário (R$)",PO.CustoUnitario,ROUND(PO.CustoUnitario*(1+$Z19),15-13*$X$6)),0)</f>
        <v>0</v>
      </c>
      <c r="T19" s="177" t="n">
        <f aca="true">IF($A19="S",VTOTAL1,IF($A19=0,0,ROUND(SomaAgrup,15-13*$X$7)))</f>
        <v>0</v>
      </c>
      <c r="U19" s="178" t="str">
        <f aca="false">IF($J19="","",IF($N19="","DESCRIÇÃO",IF(AND($J19="Serviço",$O19=""),"UNIDADE",IF($T19&lt;=0,"SEM VALOR",IF(AND($Y19&lt;&gt;"",$Q19&gt;$Y19),"ACIMA REF.","")))))</f>
        <v>DESCRIÇÃO</v>
      </c>
      <c r="V19" s="150" t="str">
        <f aca="true">IF(OR($A19=0,$A19="S",$A19&gt;CFF!$A$9),"",MAX(V$12:OFFSET(V19,-1,0))+1)</f>
        <v/>
      </c>
      <c r="W19" s="160" t="n">
        <f aca="false">IF(AND($J19="Serviço",$M19&lt;&gt;""),IF($L19="",$M19,CONCATENATE($L19,"-",$M19)))</f>
        <v>0</v>
      </c>
      <c r="X19" s="150" t="str">
        <f aca="true">IF(AND(Fonte&lt;&gt;"",Código&lt;&gt;""),MATCH(Fonte&amp;" "&amp;IF(Fonte="sinapi",SUBSTITUTE(SUBSTITUTE(Código,"/00","/"),"/0","/"),Código),INDIRECT("'[Referência "&amp;_xlnm.Database&amp;".xls]Banco'!$a:$a"),0),"X")</f>
        <v>X</v>
      </c>
      <c r="Y19" s="176" t="n">
        <f aca="true">IF(Import.Desoneracao="sim",Referencia.Desonerado,Referencia.NaoDesonerado)</f>
        <v>0</v>
      </c>
      <c r="Z19" s="179" t="n">
        <f aca="false">ROUND(IF(ISNUMBER(R19),R19,IF(LEFT(R19,3)="BDI",HLOOKUP(R19,DADOS!$T$37:$X$38,2,0),0)),15-11*$X$5)</f>
        <v>0.2642</v>
      </c>
      <c r="AA19" s="150"/>
    </row>
    <row r="20" customFormat="false" ht="12.75" hidden="false" customHeight="true" outlineLevel="0" collapsed="false">
      <c r="A20" s="0" t="str">
        <f aca="false">CHOOSE(1+LOG(1+2*(J20="Meta")+4*(J20="Nível 2")+8*(J20="Nível 3")+16*(J20="Nível 4")+32*(J20="Serviço"),2),0,1,2,3,4,"S")</f>
        <v>S</v>
      </c>
      <c r="B20" s="0" t="n">
        <f aca="false">IF(OR(A20="S",A20=0),0,IF(ISERROR(I20),H20,SMALL(H20:I20,1)))</f>
        <v>0</v>
      </c>
      <c r="C20" s="0" t="n">
        <f aca="true">IF($A20=1,OFFSET(C20,-1,0)+1,OFFSET(C20,-1,0))</f>
        <v>1</v>
      </c>
      <c r="D20" s="0" t="n">
        <f aca="true">IF($A20=1,0,IF($A20=2,OFFSET(D20,-1,0)+1,OFFSET(D20,-1,0)))</f>
        <v>0</v>
      </c>
      <c r="E20" s="0" t="n">
        <f aca="true">IF(AND($A20&lt;=2,$A20&lt;&gt;0),0,IF($A20=3,OFFSET(E20,-1,0)+1,OFFSET(E20,-1,0)))</f>
        <v>0</v>
      </c>
      <c r="F20" s="0" t="n">
        <f aca="true">IF(AND($A20&lt;=3,$A20&lt;&gt;0),0,IF($A20=4,OFFSET(F20,-1,0)+1,OFFSET(F20,-1,0)))</f>
        <v>0</v>
      </c>
      <c r="G20" s="0" t="n">
        <f aca="true">IF(AND($A20&lt;=4,$A20&lt;&gt;0),0,IF($A20="S",OFFSET(G20,-1,0)+1,OFFSET(G20,-1,0)))</f>
        <v>7</v>
      </c>
      <c r="H20" s="0" t="n">
        <f aca="true">IF(OR($A20="S",$A20=0),0,MATCH(0,OFFSET($B20,1,$A20,ROW($A$31)-ROW($A20)),0))</f>
        <v>0</v>
      </c>
      <c r="I20" s="0" t="n">
        <f aca="true">IF(OR($A20="S",$A20=0),0,MATCH(OFFSET($B20,0,$A20)+1,OFFSET($B20,1,$A20,ROW($A$31)-ROW($A20)),0))</f>
        <v>0</v>
      </c>
      <c r="J20" s="168" t="s">
        <v>191</v>
      </c>
      <c r="K20" s="169" t="str">
        <f aca="false">IF($A20=0,"-",CONCATENATE(C20&amp;".",IF(AND($A$5&gt;=2,$A20&gt;=2),D20&amp;".",""),IF(AND($A$5&gt;=3,$A20&gt;=3),E20&amp;".",""),IF(AND($A$5&gt;=4,$A20&gt;=4),F20&amp;".",""),IF($A20="S",G20&amp;".","")))</f>
        <v>1.7.</v>
      </c>
      <c r="L20" s="170"/>
      <c r="M20" s="170"/>
      <c r="N20" s="171" t="str">
        <f aca="true">IF($A20="S",Referencia.Descricao,"(digite a descrição aqui)")</f>
        <v/>
      </c>
      <c r="O20" s="172" t="str">
        <f aca="true">Referencia.Unidade</f>
        <v/>
      </c>
      <c r="P20" s="173" t="n">
        <v>0</v>
      </c>
      <c r="Q20" s="174"/>
      <c r="R20" s="175" t="s">
        <v>34</v>
      </c>
      <c r="S20" s="176" t="n">
        <f aca="false">IF($A20="S",IF($Q$10="Preço Unitário (R$)",PO.CustoUnitario,ROUND(PO.CustoUnitario*(1+$Z20),15-13*$X$6)),0)</f>
        <v>0</v>
      </c>
      <c r="T20" s="177" t="n">
        <f aca="true">IF($A20="S",VTOTAL1,IF($A20=0,0,ROUND(SomaAgrup,15-13*$X$7)))</f>
        <v>0</v>
      </c>
      <c r="U20" s="178" t="str">
        <f aca="false">IF($J20="","",IF($N20="","DESCRIÇÃO",IF(AND($J20="Serviço",$O20=""),"UNIDADE",IF($T20&lt;=0,"SEM VALOR",IF(AND($Y20&lt;&gt;"",$Q20&gt;$Y20),"ACIMA REF.","")))))</f>
        <v>DESCRIÇÃO</v>
      </c>
      <c r="V20" s="150" t="str">
        <f aca="true">IF(OR($A20=0,$A20="S",$A20&gt;CFF!$A$9),"",MAX(V$12:OFFSET(V20,-1,0))+1)</f>
        <v/>
      </c>
      <c r="W20" s="160" t="n">
        <f aca="false">IF(AND($J20="Serviço",$M20&lt;&gt;""),IF($L20="",$M20,CONCATENATE($L20,"-",$M20)))</f>
        <v>0</v>
      </c>
      <c r="X20" s="150" t="str">
        <f aca="true">IF(AND(Fonte&lt;&gt;"",Código&lt;&gt;""),MATCH(Fonte&amp;" "&amp;IF(Fonte="sinapi",SUBSTITUTE(SUBSTITUTE(Código,"/00","/"),"/0","/"),Código),INDIRECT("'[Referência "&amp;_xlnm.Database&amp;".xls]Banco'!$a:$a"),0),"X")</f>
        <v>X</v>
      </c>
      <c r="Y20" s="176" t="n">
        <f aca="true">IF(Import.Desoneracao="sim",Referencia.Desonerado,Referencia.NaoDesonerado)</f>
        <v>0</v>
      </c>
      <c r="Z20" s="179" t="n">
        <f aca="false">ROUND(IF(ISNUMBER(R20),R20,IF(LEFT(R20,3)="BDI",HLOOKUP(R20,DADOS!$T$37:$X$38,2,0),0)),15-11*$X$5)</f>
        <v>0.2642</v>
      </c>
      <c r="AA20" s="150"/>
    </row>
    <row r="21" customFormat="false" ht="12.75" hidden="false" customHeight="true" outlineLevel="0" collapsed="false">
      <c r="A21" s="0" t="str">
        <f aca="false">CHOOSE(1+LOG(1+2*(J21="Meta")+4*(J21="Nível 2")+8*(J21="Nível 3")+16*(J21="Nível 4")+32*(J21="Serviço"),2),0,1,2,3,4,"S")</f>
        <v>S</v>
      </c>
      <c r="B21" s="0" t="n">
        <f aca="false">IF(OR(A21="S",A21=0),0,IF(ISERROR(I21),H21,SMALL(H21:I21,1)))</f>
        <v>0</v>
      </c>
      <c r="C21" s="0" t="n">
        <f aca="true">IF($A21=1,OFFSET(C21,-1,0)+1,OFFSET(C21,-1,0))</f>
        <v>1</v>
      </c>
      <c r="D21" s="0" t="n">
        <f aca="true">IF($A21=1,0,IF($A21=2,OFFSET(D21,-1,0)+1,OFFSET(D21,-1,0)))</f>
        <v>0</v>
      </c>
      <c r="E21" s="0" t="n">
        <f aca="true">IF(AND($A21&lt;=2,$A21&lt;&gt;0),0,IF($A21=3,OFFSET(E21,-1,0)+1,OFFSET(E21,-1,0)))</f>
        <v>0</v>
      </c>
      <c r="F21" s="0" t="n">
        <f aca="true">IF(AND($A21&lt;=3,$A21&lt;&gt;0),0,IF($A21=4,OFFSET(F21,-1,0)+1,OFFSET(F21,-1,0)))</f>
        <v>0</v>
      </c>
      <c r="G21" s="0" t="n">
        <f aca="true">IF(AND($A21&lt;=4,$A21&lt;&gt;0),0,IF($A21="S",OFFSET(G21,-1,0)+1,OFFSET(G21,-1,0)))</f>
        <v>8</v>
      </c>
      <c r="H21" s="0" t="n">
        <f aca="true">IF(OR($A21="S",$A21=0),0,MATCH(0,OFFSET($B21,1,$A21,ROW($A$31)-ROW($A21)),0))</f>
        <v>0</v>
      </c>
      <c r="I21" s="0" t="n">
        <f aca="true">IF(OR($A21="S",$A21=0),0,MATCH(OFFSET($B21,0,$A21)+1,OFFSET($B21,1,$A21,ROW($A$31)-ROW($A21)),0))</f>
        <v>0</v>
      </c>
      <c r="J21" s="168" t="s">
        <v>191</v>
      </c>
      <c r="K21" s="169" t="str">
        <f aca="false">IF($A21=0,"-",CONCATENATE(C21&amp;".",IF(AND($A$5&gt;=2,$A21&gt;=2),D21&amp;".",""),IF(AND($A$5&gt;=3,$A21&gt;=3),E21&amp;".",""),IF(AND($A$5&gt;=4,$A21&gt;=4),F21&amp;".",""),IF($A21="S",G21&amp;".","")))</f>
        <v>1.8.</v>
      </c>
      <c r="L21" s="170"/>
      <c r="M21" s="170"/>
      <c r="N21" s="171" t="str">
        <f aca="true">IF($A21="S",Referencia.Descricao,"(digite a descrição aqui)")</f>
        <v/>
      </c>
      <c r="O21" s="172" t="str">
        <f aca="true">Referencia.Unidade</f>
        <v/>
      </c>
      <c r="P21" s="173" t="n">
        <v>0</v>
      </c>
      <c r="Q21" s="174"/>
      <c r="R21" s="175" t="s">
        <v>34</v>
      </c>
      <c r="S21" s="176" t="n">
        <f aca="false">IF($A21="S",IF($Q$10="Preço Unitário (R$)",PO.CustoUnitario,ROUND(PO.CustoUnitario*(1+$Z21),15-13*$X$6)),0)</f>
        <v>0</v>
      </c>
      <c r="T21" s="177" t="n">
        <f aca="true">IF($A21="S",VTOTAL1,IF($A21=0,0,ROUND(SomaAgrup,15-13*$X$7)))</f>
        <v>0</v>
      </c>
      <c r="U21" s="178" t="str">
        <f aca="false">IF($J21="","",IF($N21="","DESCRIÇÃO",IF(AND($J21="Serviço",$O21=""),"UNIDADE",IF($T21&lt;=0,"SEM VALOR",IF(AND($Y21&lt;&gt;"",$Q21&gt;$Y21),"ACIMA REF.","")))))</f>
        <v>DESCRIÇÃO</v>
      </c>
      <c r="V21" s="150" t="str">
        <f aca="true">IF(OR($A21=0,$A21="S",$A21&gt;CFF!$A$9),"",MAX(V$12:OFFSET(V21,-1,0))+1)</f>
        <v/>
      </c>
      <c r="W21" s="160" t="n">
        <f aca="false">IF(AND($J21="Serviço",$M21&lt;&gt;""),IF($L21="",$M21,CONCATENATE($L21,"-",$M21)))</f>
        <v>0</v>
      </c>
      <c r="X21" s="150" t="str">
        <f aca="true">IF(AND(Fonte&lt;&gt;"",Código&lt;&gt;""),MATCH(Fonte&amp;" "&amp;IF(Fonte="sinapi",SUBSTITUTE(SUBSTITUTE(Código,"/00","/"),"/0","/"),Código),INDIRECT("'[Referência "&amp;_xlnm.Database&amp;".xls]Banco'!$a:$a"),0),"X")</f>
        <v>X</v>
      </c>
      <c r="Y21" s="176" t="n">
        <f aca="true">IF(Import.Desoneracao="sim",Referencia.Desonerado,Referencia.NaoDesonerado)</f>
        <v>0</v>
      </c>
      <c r="Z21" s="179" t="n">
        <f aca="false">ROUND(IF(ISNUMBER(R21),R21,IF(LEFT(R21,3)="BDI",HLOOKUP(R21,DADOS!$T$37:$X$38,2,0),0)),15-11*$X$5)</f>
        <v>0.2642</v>
      </c>
      <c r="AA21" s="150"/>
    </row>
    <row r="22" customFormat="false" ht="12.75" hidden="false" customHeight="true" outlineLevel="0" collapsed="false">
      <c r="A22" s="0" t="str">
        <f aca="false">CHOOSE(1+LOG(1+2*(J22="Meta")+4*(J22="Nível 2")+8*(J22="Nível 3")+16*(J22="Nível 4")+32*(J22="Serviço"),2),0,1,2,3,4,"S")</f>
        <v>S</v>
      </c>
      <c r="B22" s="0" t="n">
        <f aca="false">IF(OR(A22="S",A22=0),0,IF(ISERROR(I22),H22,SMALL(H22:I22,1)))</f>
        <v>0</v>
      </c>
      <c r="C22" s="0" t="n">
        <f aca="true">IF($A22=1,OFFSET(C22,-1,0)+1,OFFSET(C22,-1,0))</f>
        <v>1</v>
      </c>
      <c r="D22" s="0" t="n">
        <f aca="true">IF($A22=1,0,IF($A22=2,OFFSET(D22,-1,0)+1,OFFSET(D22,-1,0)))</f>
        <v>0</v>
      </c>
      <c r="E22" s="0" t="n">
        <f aca="true">IF(AND($A22&lt;=2,$A22&lt;&gt;0),0,IF($A22=3,OFFSET(E22,-1,0)+1,OFFSET(E22,-1,0)))</f>
        <v>0</v>
      </c>
      <c r="F22" s="0" t="n">
        <f aca="true">IF(AND($A22&lt;=3,$A22&lt;&gt;0),0,IF($A22=4,OFFSET(F22,-1,0)+1,OFFSET(F22,-1,0)))</f>
        <v>0</v>
      </c>
      <c r="G22" s="0" t="n">
        <f aca="true">IF(AND($A22&lt;=4,$A22&lt;&gt;0),0,IF($A22="S",OFFSET(G22,-1,0)+1,OFFSET(G22,-1,0)))</f>
        <v>9</v>
      </c>
      <c r="H22" s="0" t="n">
        <f aca="true">IF(OR($A22="S",$A22=0),0,MATCH(0,OFFSET($B22,1,$A22,ROW($A$31)-ROW($A22)),0))</f>
        <v>0</v>
      </c>
      <c r="I22" s="0" t="n">
        <f aca="true">IF(OR($A22="S",$A22=0),0,MATCH(OFFSET($B22,0,$A22)+1,OFFSET($B22,1,$A22,ROW($A$31)-ROW($A22)),0))</f>
        <v>0</v>
      </c>
      <c r="J22" s="168" t="s">
        <v>191</v>
      </c>
      <c r="K22" s="169" t="str">
        <f aca="false">IF($A22=0,"-",CONCATENATE(C22&amp;".",IF(AND($A$5&gt;=2,$A22&gt;=2),D22&amp;".",""),IF(AND($A$5&gt;=3,$A22&gt;=3),E22&amp;".",""),IF(AND($A$5&gt;=4,$A22&gt;=4),F22&amp;".",""),IF($A22="S",G22&amp;".","")))</f>
        <v>1.9.</v>
      </c>
      <c r="L22" s="170"/>
      <c r="M22" s="170"/>
      <c r="N22" s="171" t="str">
        <f aca="true">IF($A22="S",Referencia.Descricao,"(digite a descrição aqui)")</f>
        <v/>
      </c>
      <c r="O22" s="172" t="str">
        <f aca="true">Referencia.Unidade</f>
        <v/>
      </c>
      <c r="P22" s="173" t="n">
        <v>0</v>
      </c>
      <c r="Q22" s="174"/>
      <c r="R22" s="175" t="s">
        <v>34</v>
      </c>
      <c r="S22" s="176" t="n">
        <f aca="false">IF($A22="S",IF($Q$10="Preço Unitário (R$)",PO.CustoUnitario,ROUND(PO.CustoUnitario*(1+$Z22),15-13*$X$6)),0)</f>
        <v>0</v>
      </c>
      <c r="T22" s="177" t="n">
        <f aca="true">IF($A22="S",VTOTAL1,IF($A22=0,0,ROUND(SomaAgrup,15-13*$X$7)))</f>
        <v>0</v>
      </c>
      <c r="U22" s="178" t="str">
        <f aca="false">IF($J22="","",IF($N22="","DESCRIÇÃO",IF(AND($J22="Serviço",$O22=""),"UNIDADE",IF($T22&lt;=0,"SEM VALOR",IF(AND($Y22&lt;&gt;"",$Q22&gt;$Y22),"ACIMA REF.","")))))</f>
        <v>DESCRIÇÃO</v>
      </c>
      <c r="V22" s="150" t="str">
        <f aca="true">IF(OR($A22=0,$A22="S",$A22&gt;CFF!$A$9),"",MAX(V$12:OFFSET(V22,-1,0))+1)</f>
        <v/>
      </c>
      <c r="W22" s="160" t="n">
        <f aca="false">IF(AND($J22="Serviço",$M22&lt;&gt;""),IF($L22="",$M22,CONCATENATE($L22,"-",$M22)))</f>
        <v>0</v>
      </c>
      <c r="X22" s="150" t="str">
        <f aca="true">IF(AND(Fonte&lt;&gt;"",Código&lt;&gt;""),MATCH(Fonte&amp;" "&amp;IF(Fonte="sinapi",SUBSTITUTE(SUBSTITUTE(Código,"/00","/"),"/0","/"),Código),INDIRECT("'[Referência "&amp;_xlnm.Database&amp;".xls]Banco'!$a:$a"),0),"X")</f>
        <v>X</v>
      </c>
      <c r="Y22" s="176" t="n">
        <f aca="true">IF(Import.Desoneracao="sim",Referencia.Desonerado,Referencia.NaoDesonerado)</f>
        <v>0</v>
      </c>
      <c r="Z22" s="179" t="n">
        <f aca="false">ROUND(IF(ISNUMBER(R22),R22,IF(LEFT(R22,3)="BDI",HLOOKUP(R22,DADOS!$T$37:$X$38,2,0),0)),15-11*$X$5)</f>
        <v>0.2642</v>
      </c>
      <c r="AA22" s="150"/>
    </row>
    <row r="23" customFormat="false" ht="12.75" hidden="false" customHeight="true" outlineLevel="0" collapsed="false">
      <c r="A23" s="0" t="str">
        <f aca="false">CHOOSE(1+LOG(1+2*(J23="Meta")+4*(J23="Nível 2")+8*(J23="Nível 3")+16*(J23="Nível 4")+32*(J23="Serviço"),2),0,1,2,3,4,"S")</f>
        <v>S</v>
      </c>
      <c r="B23" s="0" t="n">
        <f aca="false">IF(OR(A23="S",A23=0),0,IF(ISERROR(I23),H23,SMALL(H23:I23,1)))</f>
        <v>0</v>
      </c>
      <c r="C23" s="0" t="n">
        <f aca="true">IF($A23=1,OFFSET(C23,-1,0)+1,OFFSET(C23,-1,0))</f>
        <v>1</v>
      </c>
      <c r="D23" s="0" t="n">
        <f aca="true">IF($A23=1,0,IF($A23=2,OFFSET(D23,-1,0)+1,OFFSET(D23,-1,0)))</f>
        <v>0</v>
      </c>
      <c r="E23" s="0" t="n">
        <f aca="true">IF(AND($A23&lt;=2,$A23&lt;&gt;0),0,IF($A23=3,OFFSET(E23,-1,0)+1,OFFSET(E23,-1,0)))</f>
        <v>0</v>
      </c>
      <c r="F23" s="0" t="n">
        <f aca="true">IF(AND($A23&lt;=3,$A23&lt;&gt;0),0,IF($A23=4,OFFSET(F23,-1,0)+1,OFFSET(F23,-1,0)))</f>
        <v>0</v>
      </c>
      <c r="G23" s="0" t="n">
        <f aca="true">IF(AND($A23&lt;=4,$A23&lt;&gt;0),0,IF($A23="S",OFFSET(G23,-1,0)+1,OFFSET(G23,-1,0)))</f>
        <v>10</v>
      </c>
      <c r="H23" s="0" t="n">
        <f aca="true">IF(OR($A23="S",$A23=0),0,MATCH(0,OFFSET($B23,1,$A23,ROW($A$31)-ROW($A23)),0))</f>
        <v>0</v>
      </c>
      <c r="I23" s="0" t="n">
        <f aca="true">IF(OR($A23="S",$A23=0),0,MATCH(OFFSET($B23,0,$A23)+1,OFFSET($B23,1,$A23,ROW($A$31)-ROW($A23)),0))</f>
        <v>0</v>
      </c>
      <c r="J23" s="168" t="s">
        <v>191</v>
      </c>
      <c r="K23" s="169" t="str">
        <f aca="false">IF($A23=0,"-",CONCATENATE(C23&amp;".",IF(AND($A$5&gt;=2,$A23&gt;=2),D23&amp;".",""),IF(AND($A$5&gt;=3,$A23&gt;=3),E23&amp;".",""),IF(AND($A$5&gt;=4,$A23&gt;=4),F23&amp;".",""),IF($A23="S",G23&amp;".","")))</f>
        <v>1.10.</v>
      </c>
      <c r="L23" s="170"/>
      <c r="M23" s="170"/>
      <c r="N23" s="171" t="str">
        <f aca="true">IF($A23="S",Referencia.Descricao,"(digite a descrição aqui)")</f>
        <v/>
      </c>
      <c r="O23" s="172" t="str">
        <f aca="true">Referencia.Unidade</f>
        <v/>
      </c>
      <c r="P23" s="173" t="n">
        <v>0</v>
      </c>
      <c r="Q23" s="174"/>
      <c r="R23" s="175" t="s">
        <v>34</v>
      </c>
      <c r="S23" s="176" t="n">
        <f aca="false">IF($A23="S",IF($Q$10="Preço Unitário (R$)",PO.CustoUnitario,ROUND(PO.CustoUnitario*(1+$Z23),15-13*$X$6)),0)</f>
        <v>0</v>
      </c>
      <c r="T23" s="177" t="n">
        <f aca="true">IF($A23="S",VTOTAL1,IF($A23=0,0,ROUND(SomaAgrup,15-13*$X$7)))</f>
        <v>0</v>
      </c>
      <c r="U23" s="178" t="str">
        <f aca="false">IF($J23="","",IF($N23="","DESCRIÇÃO",IF(AND($J23="Serviço",$O23=""),"UNIDADE",IF($T23&lt;=0,"SEM VALOR",IF(AND($Y23&lt;&gt;"",$Q23&gt;$Y23),"ACIMA REF.","")))))</f>
        <v>DESCRIÇÃO</v>
      </c>
      <c r="V23" s="150" t="str">
        <f aca="true">IF(OR($A23=0,$A23="S",$A23&gt;CFF!$A$9),"",MAX(V$12:OFFSET(V23,-1,0))+1)</f>
        <v/>
      </c>
      <c r="W23" s="160" t="n">
        <f aca="false">IF(AND($J23="Serviço",$M23&lt;&gt;""),IF($L23="",$M23,CONCATENATE($L23,"-",$M23)))</f>
        <v>0</v>
      </c>
      <c r="X23" s="150" t="str">
        <f aca="true">IF(AND(Fonte&lt;&gt;"",Código&lt;&gt;""),MATCH(Fonte&amp;" "&amp;IF(Fonte="sinapi",SUBSTITUTE(SUBSTITUTE(Código,"/00","/"),"/0","/"),Código),INDIRECT("'[Referência "&amp;_xlnm.Database&amp;".xls]Banco'!$a:$a"),0),"X")</f>
        <v>X</v>
      </c>
      <c r="Y23" s="176" t="n">
        <f aca="true">IF(Import.Desoneracao="sim",Referencia.Desonerado,Referencia.NaoDesonerado)</f>
        <v>0</v>
      </c>
      <c r="Z23" s="179" t="n">
        <f aca="false">ROUND(IF(ISNUMBER(R23),R23,IF(LEFT(R23,3)="BDI",HLOOKUP(R23,DADOS!$T$37:$X$38,2,0),0)),15-11*$X$5)</f>
        <v>0.2642</v>
      </c>
      <c r="AA23" s="150"/>
    </row>
    <row r="24" customFormat="false" ht="12.75" hidden="false" customHeight="true" outlineLevel="0" collapsed="false">
      <c r="A24" s="0" t="str">
        <f aca="false">CHOOSE(1+LOG(1+2*(J24="Meta")+4*(J24="Nível 2")+8*(J24="Nível 3")+16*(J24="Nível 4")+32*(J24="Serviço"),2),0,1,2,3,4,"S")</f>
        <v>S</v>
      </c>
      <c r="B24" s="0" t="n">
        <f aca="false">IF(OR(A24="S",A24=0),0,IF(ISERROR(I24),H24,SMALL(H24:I24,1)))</f>
        <v>0</v>
      </c>
      <c r="C24" s="0" t="n">
        <f aca="true">IF($A24=1,OFFSET(C24,-1,0)+1,OFFSET(C24,-1,0))</f>
        <v>1</v>
      </c>
      <c r="D24" s="0" t="n">
        <f aca="true">IF($A24=1,0,IF($A24=2,OFFSET(D24,-1,0)+1,OFFSET(D24,-1,0)))</f>
        <v>0</v>
      </c>
      <c r="E24" s="0" t="n">
        <f aca="true">IF(AND($A24&lt;=2,$A24&lt;&gt;0),0,IF($A24=3,OFFSET(E24,-1,0)+1,OFFSET(E24,-1,0)))</f>
        <v>0</v>
      </c>
      <c r="F24" s="0" t="n">
        <f aca="true">IF(AND($A24&lt;=3,$A24&lt;&gt;0),0,IF($A24=4,OFFSET(F24,-1,0)+1,OFFSET(F24,-1,0)))</f>
        <v>0</v>
      </c>
      <c r="G24" s="0" t="n">
        <f aca="true">IF(AND($A24&lt;=4,$A24&lt;&gt;0),0,IF($A24="S",OFFSET(G24,-1,0)+1,OFFSET(G24,-1,0)))</f>
        <v>11</v>
      </c>
      <c r="H24" s="0" t="n">
        <f aca="true">IF(OR($A24="S",$A24=0),0,MATCH(0,OFFSET($B24,1,$A24,ROW($A$31)-ROW($A24)),0))</f>
        <v>0</v>
      </c>
      <c r="I24" s="0" t="n">
        <f aca="true">IF(OR($A24="S",$A24=0),0,MATCH(OFFSET($B24,0,$A24)+1,OFFSET($B24,1,$A24,ROW($A$31)-ROW($A24)),0))</f>
        <v>0</v>
      </c>
      <c r="J24" s="168" t="s">
        <v>191</v>
      </c>
      <c r="K24" s="169" t="str">
        <f aca="false">IF($A24=0,"-",CONCATENATE(C24&amp;".",IF(AND($A$5&gt;=2,$A24&gt;=2),D24&amp;".",""),IF(AND($A$5&gt;=3,$A24&gt;=3),E24&amp;".",""),IF(AND($A$5&gt;=4,$A24&gt;=4),F24&amp;".",""),IF($A24="S",G24&amp;".","")))</f>
        <v>1.11.</v>
      </c>
      <c r="L24" s="170"/>
      <c r="M24" s="170"/>
      <c r="N24" s="171" t="str">
        <f aca="true">IF($A24="S",Referencia.Descricao,"(digite a descrição aqui)")</f>
        <v/>
      </c>
      <c r="O24" s="172" t="str">
        <f aca="true">Referencia.Unidade</f>
        <v/>
      </c>
      <c r="P24" s="173" t="n">
        <v>0</v>
      </c>
      <c r="Q24" s="174"/>
      <c r="R24" s="175" t="s">
        <v>34</v>
      </c>
      <c r="S24" s="176" t="n">
        <f aca="false">IF($A24="S",IF($Q$10="Preço Unitário (R$)",PO.CustoUnitario,ROUND(PO.CustoUnitario*(1+$Z24),15-13*$X$6)),0)</f>
        <v>0</v>
      </c>
      <c r="T24" s="177" t="n">
        <f aca="true">IF($A24="S",VTOTAL1,IF($A24=0,0,ROUND(SomaAgrup,15-13*$X$7)))</f>
        <v>0</v>
      </c>
      <c r="U24" s="178" t="str">
        <f aca="false">IF($J24="","",IF($N24="","DESCRIÇÃO",IF(AND($J24="Serviço",$O24=""),"UNIDADE",IF($T24&lt;=0,"SEM VALOR",IF(AND($Y24&lt;&gt;"",$Q24&gt;$Y24),"ACIMA REF.","")))))</f>
        <v>DESCRIÇÃO</v>
      </c>
      <c r="V24" s="150" t="str">
        <f aca="true">IF(OR($A24=0,$A24="S",$A24&gt;CFF!$A$9),"",MAX(V$12:OFFSET(V24,-1,0))+1)</f>
        <v/>
      </c>
      <c r="W24" s="160" t="n">
        <f aca="false">IF(AND($J24="Serviço",$M24&lt;&gt;""),IF($L24="",$M24,CONCATENATE($L24,"-",$M24)))</f>
        <v>0</v>
      </c>
      <c r="X24" s="150" t="str">
        <f aca="true">IF(AND(Fonte&lt;&gt;"",Código&lt;&gt;""),MATCH(Fonte&amp;" "&amp;IF(Fonte="sinapi",SUBSTITUTE(SUBSTITUTE(Código,"/00","/"),"/0","/"),Código),INDIRECT("'[Referência "&amp;_xlnm.Database&amp;".xls]Banco'!$a:$a"),0),"X")</f>
        <v>X</v>
      </c>
      <c r="Y24" s="176" t="n">
        <f aca="true">IF(Import.Desoneracao="sim",Referencia.Desonerado,Referencia.NaoDesonerado)</f>
        <v>0</v>
      </c>
      <c r="Z24" s="179" t="n">
        <f aca="false">ROUND(IF(ISNUMBER(R24),R24,IF(LEFT(R24,3)="BDI",HLOOKUP(R24,DADOS!$T$37:$X$38,2,0),0)),15-11*$X$5)</f>
        <v>0.2642</v>
      </c>
      <c r="AA24" s="150"/>
    </row>
    <row r="25" customFormat="false" ht="12.75" hidden="false" customHeight="true" outlineLevel="0" collapsed="false">
      <c r="A25" s="0" t="str">
        <f aca="false">CHOOSE(1+LOG(1+2*(J25="Meta")+4*(J25="Nível 2")+8*(J25="Nível 3")+16*(J25="Nível 4")+32*(J25="Serviço"),2),0,1,2,3,4,"S")</f>
        <v>S</v>
      </c>
      <c r="B25" s="0" t="n">
        <f aca="false">IF(OR(A25="S",A25=0),0,IF(ISERROR(I25),H25,SMALL(H25:I25,1)))</f>
        <v>0</v>
      </c>
      <c r="C25" s="0" t="n">
        <f aca="true">IF($A25=1,OFFSET(C25,-1,0)+1,OFFSET(C25,-1,0))</f>
        <v>1</v>
      </c>
      <c r="D25" s="0" t="n">
        <f aca="true">IF($A25=1,0,IF($A25=2,OFFSET(D25,-1,0)+1,OFFSET(D25,-1,0)))</f>
        <v>0</v>
      </c>
      <c r="E25" s="0" t="n">
        <f aca="true">IF(AND($A25&lt;=2,$A25&lt;&gt;0),0,IF($A25=3,OFFSET(E25,-1,0)+1,OFFSET(E25,-1,0)))</f>
        <v>0</v>
      </c>
      <c r="F25" s="0" t="n">
        <f aca="true">IF(AND($A25&lt;=3,$A25&lt;&gt;0),0,IF($A25=4,OFFSET(F25,-1,0)+1,OFFSET(F25,-1,0)))</f>
        <v>0</v>
      </c>
      <c r="G25" s="0" t="n">
        <f aca="true">IF(AND($A25&lt;=4,$A25&lt;&gt;0),0,IF($A25="S",OFFSET(G25,-1,0)+1,OFFSET(G25,-1,0)))</f>
        <v>12</v>
      </c>
      <c r="H25" s="0" t="n">
        <f aca="true">IF(OR($A25="S",$A25=0),0,MATCH(0,OFFSET($B25,1,$A25,ROW($A$31)-ROW($A25)),0))</f>
        <v>0</v>
      </c>
      <c r="I25" s="0" t="n">
        <f aca="true">IF(OR($A25="S",$A25=0),0,MATCH(OFFSET($B25,0,$A25)+1,OFFSET($B25,1,$A25,ROW($A$31)-ROW($A25)),0))</f>
        <v>0</v>
      </c>
      <c r="J25" s="168" t="s">
        <v>191</v>
      </c>
      <c r="K25" s="169" t="str">
        <f aca="false">IF($A25=0,"-",CONCATENATE(C25&amp;".",IF(AND($A$5&gt;=2,$A25&gt;=2),D25&amp;".",""),IF(AND($A$5&gt;=3,$A25&gt;=3),E25&amp;".",""),IF(AND($A$5&gt;=4,$A25&gt;=4),F25&amp;".",""),IF($A25="S",G25&amp;".","")))</f>
        <v>1.12.</v>
      </c>
      <c r="L25" s="170"/>
      <c r="M25" s="170"/>
      <c r="N25" s="171" t="str">
        <f aca="true">IF($A25="S",Referencia.Descricao,"(digite a descrição aqui)")</f>
        <v/>
      </c>
      <c r="O25" s="172" t="str">
        <f aca="true">Referencia.Unidade</f>
        <v/>
      </c>
      <c r="P25" s="173" t="n">
        <v>0</v>
      </c>
      <c r="Q25" s="174"/>
      <c r="R25" s="175" t="s">
        <v>34</v>
      </c>
      <c r="S25" s="176" t="n">
        <f aca="false">IF($A25="S",IF($Q$10="Preço Unitário (R$)",PO.CustoUnitario,ROUND(PO.CustoUnitario*(1+$Z25),15-13*$X$6)),0)</f>
        <v>0</v>
      </c>
      <c r="T25" s="177" t="n">
        <f aca="true">IF($A25="S",VTOTAL1,IF($A25=0,0,ROUND(SomaAgrup,15-13*$X$7)))</f>
        <v>0</v>
      </c>
      <c r="U25" s="178" t="str">
        <f aca="false">IF($J25="","",IF($N25="","DESCRIÇÃO",IF(AND($J25="Serviço",$O25=""),"UNIDADE",IF($T25&lt;=0,"SEM VALOR",IF(AND($Y25&lt;&gt;"",$Q25&gt;$Y25),"ACIMA REF.","")))))</f>
        <v>DESCRIÇÃO</v>
      </c>
      <c r="V25" s="150" t="str">
        <f aca="true">IF(OR($A25=0,$A25="S",$A25&gt;CFF!$A$9),"",MAX(V$12:OFFSET(V25,-1,0))+1)</f>
        <v/>
      </c>
      <c r="W25" s="160" t="n">
        <f aca="false">IF(AND($J25="Serviço",$M25&lt;&gt;""),IF($L25="",$M25,CONCATENATE($L25,"-",$M25)))</f>
        <v>0</v>
      </c>
      <c r="X25" s="150" t="str">
        <f aca="true">IF(AND(Fonte&lt;&gt;"",Código&lt;&gt;""),MATCH(Fonte&amp;" "&amp;IF(Fonte="sinapi",SUBSTITUTE(SUBSTITUTE(Código,"/00","/"),"/0","/"),Código),INDIRECT("'[Referência "&amp;_xlnm.Database&amp;".xls]Banco'!$a:$a"),0),"X")</f>
        <v>X</v>
      </c>
      <c r="Y25" s="176" t="n">
        <f aca="true">IF(Import.Desoneracao="sim",Referencia.Desonerado,Referencia.NaoDesonerado)</f>
        <v>0</v>
      </c>
      <c r="Z25" s="179" t="n">
        <f aca="false">ROUND(IF(ISNUMBER(R25),R25,IF(LEFT(R25,3)="BDI",HLOOKUP(R25,DADOS!$T$37:$X$38,2,0),0)),15-11*$X$5)</f>
        <v>0.2642</v>
      </c>
      <c r="AA25" s="150"/>
    </row>
    <row r="26" customFormat="false" ht="12.75" hidden="false" customHeight="true" outlineLevel="0" collapsed="false">
      <c r="A26" s="0" t="str">
        <f aca="false">CHOOSE(1+LOG(1+2*(J26="Meta")+4*(J26="Nível 2")+8*(J26="Nível 3")+16*(J26="Nível 4")+32*(J26="Serviço"),2),0,1,2,3,4,"S")</f>
        <v>S</v>
      </c>
      <c r="B26" s="0" t="n">
        <f aca="false">IF(OR(A26="S",A26=0),0,IF(ISERROR(I26),H26,SMALL(H26:I26,1)))</f>
        <v>0</v>
      </c>
      <c r="C26" s="0" t="n">
        <f aca="true">IF($A26=1,OFFSET(C26,-1,0)+1,OFFSET(C26,-1,0))</f>
        <v>1</v>
      </c>
      <c r="D26" s="0" t="n">
        <f aca="true">IF($A26=1,0,IF($A26=2,OFFSET(D26,-1,0)+1,OFFSET(D26,-1,0)))</f>
        <v>0</v>
      </c>
      <c r="E26" s="0" t="n">
        <f aca="true">IF(AND($A26&lt;=2,$A26&lt;&gt;0),0,IF($A26=3,OFFSET(E26,-1,0)+1,OFFSET(E26,-1,0)))</f>
        <v>0</v>
      </c>
      <c r="F26" s="0" t="n">
        <f aca="true">IF(AND($A26&lt;=3,$A26&lt;&gt;0),0,IF($A26=4,OFFSET(F26,-1,0)+1,OFFSET(F26,-1,0)))</f>
        <v>0</v>
      </c>
      <c r="G26" s="0" t="n">
        <f aca="true">IF(AND($A26&lt;=4,$A26&lt;&gt;0),0,IF($A26="S",OFFSET(G26,-1,0)+1,OFFSET(G26,-1,0)))</f>
        <v>13</v>
      </c>
      <c r="H26" s="0" t="n">
        <f aca="true">IF(OR($A26="S",$A26=0),0,MATCH(0,OFFSET($B26,1,$A26,ROW($A$31)-ROW($A26)),0))</f>
        <v>0</v>
      </c>
      <c r="I26" s="0" t="n">
        <f aca="true">IF(OR($A26="S",$A26=0),0,MATCH(OFFSET($B26,0,$A26)+1,OFFSET($B26,1,$A26,ROW($A$31)-ROW($A26)),0))</f>
        <v>0</v>
      </c>
      <c r="J26" s="168" t="s">
        <v>191</v>
      </c>
      <c r="K26" s="169" t="str">
        <f aca="false">IF($A26=0,"-",CONCATENATE(C26&amp;".",IF(AND($A$5&gt;=2,$A26&gt;=2),D26&amp;".",""),IF(AND($A$5&gt;=3,$A26&gt;=3),E26&amp;".",""),IF(AND($A$5&gt;=4,$A26&gt;=4),F26&amp;".",""),IF($A26="S",G26&amp;".","")))</f>
        <v>1.13.</v>
      </c>
      <c r="L26" s="170"/>
      <c r="M26" s="170"/>
      <c r="N26" s="171" t="str">
        <f aca="true">IF($A26="S",Referencia.Descricao,"(digite a descrição aqui)")</f>
        <v/>
      </c>
      <c r="O26" s="172" t="str">
        <f aca="true">Referencia.Unidade</f>
        <v/>
      </c>
      <c r="P26" s="173" t="n">
        <v>0</v>
      </c>
      <c r="Q26" s="174"/>
      <c r="R26" s="175" t="s">
        <v>34</v>
      </c>
      <c r="S26" s="176" t="n">
        <f aca="false">IF($A26="S",IF($Q$10="Preço Unitário (R$)",PO.CustoUnitario,ROUND(PO.CustoUnitario*(1+$Z26),15-13*$X$6)),0)</f>
        <v>0</v>
      </c>
      <c r="T26" s="177" t="n">
        <f aca="true">IF($A26="S",VTOTAL1,IF($A26=0,0,ROUND(SomaAgrup,15-13*$X$7)))</f>
        <v>0</v>
      </c>
      <c r="U26" s="178" t="str">
        <f aca="false">IF($J26="","",IF($N26="","DESCRIÇÃO",IF(AND($J26="Serviço",$O26=""),"UNIDADE",IF($T26&lt;=0,"SEM VALOR",IF(AND($Y26&lt;&gt;"",$Q26&gt;$Y26),"ACIMA REF.","")))))</f>
        <v>DESCRIÇÃO</v>
      </c>
      <c r="V26" s="150" t="str">
        <f aca="true">IF(OR($A26=0,$A26="S",$A26&gt;CFF!$A$9),"",MAX(V$12:OFFSET(V26,-1,0))+1)</f>
        <v/>
      </c>
      <c r="W26" s="160" t="n">
        <f aca="false">IF(AND($J26="Serviço",$M26&lt;&gt;""),IF($L26="",$M26,CONCATENATE($L26,"-",$M26)))</f>
        <v>0</v>
      </c>
      <c r="X26" s="150" t="str">
        <f aca="true">IF(AND(Fonte&lt;&gt;"",Código&lt;&gt;""),MATCH(Fonte&amp;" "&amp;IF(Fonte="sinapi",SUBSTITUTE(SUBSTITUTE(Código,"/00","/"),"/0","/"),Código),INDIRECT("'[Referência "&amp;_xlnm.Database&amp;".xls]Banco'!$a:$a"),0),"X")</f>
        <v>X</v>
      </c>
      <c r="Y26" s="176" t="n">
        <f aca="true">IF(Import.Desoneracao="sim",Referencia.Desonerado,Referencia.NaoDesonerado)</f>
        <v>0</v>
      </c>
      <c r="Z26" s="179" t="n">
        <f aca="false">ROUND(IF(ISNUMBER(R26),R26,IF(LEFT(R26,3)="BDI",HLOOKUP(R26,DADOS!$T$37:$X$38,2,0),0)),15-11*$X$5)</f>
        <v>0.2642</v>
      </c>
      <c r="AA26" s="150"/>
    </row>
    <row r="27" customFormat="false" ht="12.75" hidden="false" customHeight="true" outlineLevel="0" collapsed="false">
      <c r="A27" s="0" t="str">
        <f aca="false">CHOOSE(1+LOG(1+2*(J27="Meta")+4*(J27="Nível 2")+8*(J27="Nível 3")+16*(J27="Nível 4")+32*(J27="Serviço"),2),0,1,2,3,4,"S")</f>
        <v>S</v>
      </c>
      <c r="B27" s="0" t="n">
        <f aca="false">IF(OR(A27="S",A27=0),0,IF(ISERROR(I27),H27,SMALL(H27:I27,1)))</f>
        <v>0</v>
      </c>
      <c r="C27" s="0" t="n">
        <f aca="true">IF($A27=1,OFFSET(C27,-1,0)+1,OFFSET(C27,-1,0))</f>
        <v>1</v>
      </c>
      <c r="D27" s="0" t="n">
        <f aca="true">IF($A27=1,0,IF($A27=2,OFFSET(D27,-1,0)+1,OFFSET(D27,-1,0)))</f>
        <v>0</v>
      </c>
      <c r="E27" s="0" t="n">
        <f aca="true">IF(AND($A27&lt;=2,$A27&lt;&gt;0),0,IF($A27=3,OFFSET(E27,-1,0)+1,OFFSET(E27,-1,0)))</f>
        <v>0</v>
      </c>
      <c r="F27" s="0" t="n">
        <f aca="true">IF(AND($A27&lt;=3,$A27&lt;&gt;0),0,IF($A27=4,OFFSET(F27,-1,0)+1,OFFSET(F27,-1,0)))</f>
        <v>0</v>
      </c>
      <c r="G27" s="0" t="n">
        <f aca="true">IF(AND($A27&lt;=4,$A27&lt;&gt;0),0,IF($A27="S",OFFSET(G27,-1,0)+1,OFFSET(G27,-1,0)))</f>
        <v>14</v>
      </c>
      <c r="H27" s="0" t="n">
        <f aca="true">IF(OR($A27="S",$A27=0),0,MATCH(0,OFFSET($B27,1,$A27,ROW($A$31)-ROW($A27)),0))</f>
        <v>0</v>
      </c>
      <c r="I27" s="0" t="n">
        <f aca="true">IF(OR($A27="S",$A27=0),0,MATCH(OFFSET($B27,0,$A27)+1,OFFSET($B27,1,$A27,ROW($A$31)-ROW($A27)),0))</f>
        <v>0</v>
      </c>
      <c r="J27" s="168" t="s">
        <v>191</v>
      </c>
      <c r="K27" s="169" t="str">
        <f aca="false">IF($A27=0,"-",CONCATENATE(C27&amp;".",IF(AND($A$5&gt;=2,$A27&gt;=2),D27&amp;".",""),IF(AND($A$5&gt;=3,$A27&gt;=3),E27&amp;".",""),IF(AND($A$5&gt;=4,$A27&gt;=4),F27&amp;".",""),IF($A27="S",G27&amp;".","")))</f>
        <v>1.14.</v>
      </c>
      <c r="L27" s="170"/>
      <c r="M27" s="170"/>
      <c r="N27" s="171" t="str">
        <f aca="true">IF($A27="S",Referencia.Descricao,"(digite a descrição aqui)")</f>
        <v/>
      </c>
      <c r="O27" s="172" t="str">
        <f aca="true">Referencia.Unidade</f>
        <v/>
      </c>
      <c r="P27" s="173" t="n">
        <v>0</v>
      </c>
      <c r="Q27" s="174"/>
      <c r="R27" s="175" t="s">
        <v>34</v>
      </c>
      <c r="S27" s="176" t="n">
        <f aca="false">IF($A27="S",IF($Q$10="Preço Unitário (R$)",PO.CustoUnitario,ROUND(PO.CustoUnitario*(1+$Z27),15-13*$X$6)),0)</f>
        <v>0</v>
      </c>
      <c r="T27" s="177" t="n">
        <f aca="true">IF($A27="S",VTOTAL1,IF($A27=0,0,ROUND(SomaAgrup,15-13*$X$7)))</f>
        <v>0</v>
      </c>
      <c r="U27" s="178" t="str">
        <f aca="false">IF($J27="","",IF($N27="","DESCRIÇÃO",IF(AND($J27="Serviço",$O27=""),"UNIDADE",IF($T27&lt;=0,"SEM VALOR",IF(AND($Y27&lt;&gt;"",$Q27&gt;$Y27),"ACIMA REF.","")))))</f>
        <v>DESCRIÇÃO</v>
      </c>
      <c r="V27" s="150" t="str">
        <f aca="true">IF(OR($A27=0,$A27="S",$A27&gt;CFF!$A$9),"",MAX(V$12:OFFSET(V27,-1,0))+1)</f>
        <v/>
      </c>
      <c r="W27" s="160" t="n">
        <f aca="false">IF(AND($J27="Serviço",$M27&lt;&gt;""),IF($L27="",$M27,CONCATENATE($L27,"-",$M27)))</f>
        <v>0</v>
      </c>
      <c r="X27" s="150" t="str">
        <f aca="true">IF(AND(Fonte&lt;&gt;"",Código&lt;&gt;""),MATCH(Fonte&amp;" "&amp;IF(Fonte="sinapi",SUBSTITUTE(SUBSTITUTE(Código,"/00","/"),"/0","/"),Código),INDIRECT("'[Referência "&amp;_xlnm.Database&amp;".xls]Banco'!$a:$a"),0),"X")</f>
        <v>X</v>
      </c>
      <c r="Y27" s="176" t="n">
        <f aca="true">IF(Import.Desoneracao="sim",Referencia.Desonerado,Referencia.NaoDesonerado)</f>
        <v>0</v>
      </c>
      <c r="Z27" s="179" t="n">
        <f aca="false">ROUND(IF(ISNUMBER(R27),R27,IF(LEFT(R27,3)="BDI",HLOOKUP(R27,DADOS!$T$37:$X$38,2,0),0)),15-11*$X$5)</f>
        <v>0.2642</v>
      </c>
      <c r="AA27" s="150"/>
    </row>
    <row r="28" customFormat="false" ht="12.75" hidden="false" customHeight="true" outlineLevel="0" collapsed="false">
      <c r="A28" s="0" t="str">
        <f aca="false">CHOOSE(1+LOG(1+2*(J28="Meta")+4*(J28="Nível 2")+8*(J28="Nível 3")+16*(J28="Nível 4")+32*(J28="Serviço"),2),0,1,2,3,4,"S")</f>
        <v>S</v>
      </c>
      <c r="B28" s="0" t="n">
        <f aca="false">IF(OR(A28="S",A28=0),0,IF(ISERROR(I28),H28,SMALL(H28:I28,1)))</f>
        <v>0</v>
      </c>
      <c r="C28" s="0" t="n">
        <f aca="true">IF($A28=1,OFFSET(C28,-1,0)+1,OFFSET(C28,-1,0))</f>
        <v>1</v>
      </c>
      <c r="D28" s="0" t="n">
        <f aca="true">IF($A28=1,0,IF($A28=2,OFFSET(D28,-1,0)+1,OFFSET(D28,-1,0)))</f>
        <v>0</v>
      </c>
      <c r="E28" s="0" t="n">
        <f aca="true">IF(AND($A28&lt;=2,$A28&lt;&gt;0),0,IF($A28=3,OFFSET(E28,-1,0)+1,OFFSET(E28,-1,0)))</f>
        <v>0</v>
      </c>
      <c r="F28" s="0" t="n">
        <f aca="true">IF(AND($A28&lt;=3,$A28&lt;&gt;0),0,IF($A28=4,OFFSET(F28,-1,0)+1,OFFSET(F28,-1,0)))</f>
        <v>0</v>
      </c>
      <c r="G28" s="0" t="n">
        <f aca="true">IF(AND($A28&lt;=4,$A28&lt;&gt;0),0,IF($A28="S",OFFSET(G28,-1,0)+1,OFFSET(G28,-1,0)))</f>
        <v>15</v>
      </c>
      <c r="H28" s="0" t="n">
        <f aca="true">IF(OR($A28="S",$A28=0),0,MATCH(0,OFFSET($B28,1,$A28,ROW($A$31)-ROW($A28)),0))</f>
        <v>0</v>
      </c>
      <c r="I28" s="0" t="n">
        <f aca="true">IF(OR($A28="S",$A28=0),0,MATCH(OFFSET($B28,0,$A28)+1,OFFSET($B28,1,$A28,ROW($A$31)-ROW($A28)),0))</f>
        <v>0</v>
      </c>
      <c r="J28" s="168" t="s">
        <v>191</v>
      </c>
      <c r="K28" s="169" t="str">
        <f aca="false">IF($A28=0,"-",CONCATENATE(C28&amp;".",IF(AND($A$5&gt;=2,$A28&gt;=2),D28&amp;".",""),IF(AND($A$5&gt;=3,$A28&gt;=3),E28&amp;".",""),IF(AND($A$5&gt;=4,$A28&gt;=4),F28&amp;".",""),IF($A28="S",G28&amp;".","")))</f>
        <v>1.15.</v>
      </c>
      <c r="L28" s="170"/>
      <c r="M28" s="170"/>
      <c r="N28" s="171" t="str">
        <f aca="true">IF($A28="S",Referencia.Descricao,"(digite a descrição aqui)")</f>
        <v/>
      </c>
      <c r="O28" s="172" t="str">
        <f aca="true">Referencia.Unidade</f>
        <v/>
      </c>
      <c r="P28" s="173" t="n">
        <v>0</v>
      </c>
      <c r="Q28" s="174"/>
      <c r="R28" s="175" t="s">
        <v>34</v>
      </c>
      <c r="S28" s="176" t="n">
        <f aca="false">IF($A28="S",IF($Q$10="Preço Unitário (R$)",PO.CustoUnitario,ROUND(PO.CustoUnitario*(1+$Z28),15-13*$X$6)),0)</f>
        <v>0</v>
      </c>
      <c r="T28" s="177" t="n">
        <f aca="true">IF($A28="S",VTOTAL1,IF($A28=0,0,ROUND(SomaAgrup,15-13*$X$7)))</f>
        <v>0</v>
      </c>
      <c r="U28" s="178" t="str">
        <f aca="false">IF($J28="","",IF($N28="","DESCRIÇÃO",IF(AND($J28="Serviço",$O28=""),"UNIDADE",IF($T28&lt;=0,"SEM VALOR",IF(AND($Y28&lt;&gt;"",$Q28&gt;$Y28),"ACIMA REF.","")))))</f>
        <v>DESCRIÇÃO</v>
      </c>
      <c r="V28" s="150" t="str">
        <f aca="true">IF(OR($A28=0,$A28="S",$A28&gt;CFF!$A$9),"",MAX(V$12:OFFSET(V28,-1,0))+1)</f>
        <v/>
      </c>
      <c r="W28" s="160" t="n">
        <f aca="false">IF(AND($J28="Serviço",$M28&lt;&gt;""),IF($L28="",$M28,CONCATENATE($L28,"-",$M28)))</f>
        <v>0</v>
      </c>
      <c r="X28" s="150" t="str">
        <f aca="true">IF(AND(Fonte&lt;&gt;"",Código&lt;&gt;""),MATCH(Fonte&amp;" "&amp;IF(Fonte="sinapi",SUBSTITUTE(SUBSTITUTE(Código,"/00","/"),"/0","/"),Código),INDIRECT("'[Referência "&amp;_xlnm.Database&amp;".xls]Banco'!$a:$a"),0),"X")</f>
        <v>X</v>
      </c>
      <c r="Y28" s="176" t="n">
        <f aca="true">IF(Import.Desoneracao="sim",Referencia.Desonerado,Referencia.NaoDesonerado)</f>
        <v>0</v>
      </c>
      <c r="Z28" s="179" t="n">
        <f aca="false">ROUND(IF(ISNUMBER(R28),R28,IF(LEFT(R28,3)="BDI",HLOOKUP(R28,DADOS!$T$37:$X$38,2,0),0)),15-11*$X$5)</f>
        <v>0.2642</v>
      </c>
      <c r="AA28" s="150"/>
    </row>
    <row r="29" customFormat="false" ht="12.75" hidden="false" customHeight="true" outlineLevel="0" collapsed="false">
      <c r="A29" s="0" t="str">
        <f aca="false">CHOOSE(1+LOG(1+2*(J29="Meta")+4*(J29="Nível 2")+8*(J29="Nível 3")+16*(J29="Nível 4")+32*(J29="Serviço"),2),0,1,2,3,4,"S")</f>
        <v>S</v>
      </c>
      <c r="B29" s="0" t="n">
        <f aca="false">IF(OR(A29="S",A29=0),0,IF(ISERROR(I29),H29,SMALL(H29:I29,1)))</f>
        <v>0</v>
      </c>
      <c r="C29" s="0" t="n">
        <f aca="true">IF($A29=1,OFFSET(C29,-1,0)+1,OFFSET(C29,-1,0))</f>
        <v>1</v>
      </c>
      <c r="D29" s="0" t="n">
        <f aca="true">IF($A29=1,0,IF($A29=2,OFFSET(D29,-1,0)+1,OFFSET(D29,-1,0)))</f>
        <v>0</v>
      </c>
      <c r="E29" s="0" t="n">
        <f aca="true">IF(AND($A29&lt;=2,$A29&lt;&gt;0),0,IF($A29=3,OFFSET(E29,-1,0)+1,OFFSET(E29,-1,0)))</f>
        <v>0</v>
      </c>
      <c r="F29" s="0" t="n">
        <f aca="true">IF(AND($A29&lt;=3,$A29&lt;&gt;0),0,IF($A29=4,OFFSET(F29,-1,0)+1,OFFSET(F29,-1,0)))</f>
        <v>0</v>
      </c>
      <c r="G29" s="0" t="n">
        <f aca="true">IF(AND($A29&lt;=4,$A29&lt;&gt;0),0,IF($A29="S",OFFSET(G29,-1,0)+1,OFFSET(G29,-1,0)))</f>
        <v>16</v>
      </c>
      <c r="H29" s="0" t="n">
        <f aca="true">IF(OR($A29="S",$A29=0),0,MATCH(0,OFFSET($B29,1,$A29,ROW($A$31)-ROW($A29)),0))</f>
        <v>0</v>
      </c>
      <c r="I29" s="0" t="n">
        <f aca="true">IF(OR($A29="S",$A29=0),0,MATCH(OFFSET($B29,0,$A29)+1,OFFSET($B29,1,$A29,ROW($A$31)-ROW($A29)),0))</f>
        <v>0</v>
      </c>
      <c r="J29" s="168" t="s">
        <v>191</v>
      </c>
      <c r="K29" s="169" t="str">
        <f aca="false">IF($A29=0,"-",CONCATENATE(C29&amp;".",IF(AND($A$5&gt;=2,$A29&gt;=2),D29&amp;".",""),IF(AND($A$5&gt;=3,$A29&gt;=3),E29&amp;".",""),IF(AND($A$5&gt;=4,$A29&gt;=4),F29&amp;".",""),IF($A29="S",G29&amp;".","")))</f>
        <v>1.16.</v>
      </c>
      <c r="L29" s="170"/>
      <c r="M29" s="170"/>
      <c r="N29" s="171" t="str">
        <f aca="true">IF($A29="S",Referencia.Descricao,"(digite a descrição aqui)")</f>
        <v/>
      </c>
      <c r="O29" s="172" t="str">
        <f aca="true">Referencia.Unidade</f>
        <v/>
      </c>
      <c r="P29" s="173" t="n">
        <v>0</v>
      </c>
      <c r="Q29" s="174"/>
      <c r="R29" s="175" t="s">
        <v>34</v>
      </c>
      <c r="S29" s="176" t="n">
        <f aca="false">IF($A29="S",IF($Q$10="Preço Unitário (R$)",PO.CustoUnitario,ROUND(PO.CustoUnitario*(1+$Z29),15-13*$X$6)),0)</f>
        <v>0</v>
      </c>
      <c r="T29" s="177" t="n">
        <f aca="true">IF($A29="S",VTOTAL1,IF($A29=0,0,ROUND(SomaAgrup,15-13*$X$7)))</f>
        <v>0</v>
      </c>
      <c r="U29" s="178" t="str">
        <f aca="false">IF($J29="","",IF($N29="","DESCRIÇÃO",IF(AND($J29="Serviço",$O29=""),"UNIDADE",IF($T29&lt;=0,"SEM VALOR",IF(AND($Y29&lt;&gt;"",$Q29&gt;$Y29),"ACIMA REF.","")))))</f>
        <v>DESCRIÇÃO</v>
      </c>
      <c r="V29" s="150" t="str">
        <f aca="true">IF(OR($A29=0,$A29="S",$A29&gt;CFF!$A$9),"",MAX(V$12:OFFSET(V29,-1,0))+1)</f>
        <v/>
      </c>
      <c r="W29" s="160" t="n">
        <f aca="false">IF(AND($J29="Serviço",$M29&lt;&gt;""),IF($L29="",$M29,CONCATENATE($L29,"-",$M29)))</f>
        <v>0</v>
      </c>
      <c r="X29" s="150" t="str">
        <f aca="true">IF(AND(Fonte&lt;&gt;"",Código&lt;&gt;""),MATCH(Fonte&amp;" "&amp;IF(Fonte="sinapi",SUBSTITUTE(SUBSTITUTE(Código,"/00","/"),"/0","/"),Código),INDIRECT("'[Referência "&amp;_xlnm.Database&amp;".xls]Banco'!$a:$a"),0),"X")</f>
        <v>X</v>
      </c>
      <c r="Y29" s="176" t="n">
        <f aca="true">IF(Import.Desoneracao="sim",Referencia.Desonerado,Referencia.NaoDesonerado)</f>
        <v>0</v>
      </c>
      <c r="Z29" s="179" t="n">
        <f aca="false">ROUND(IF(ISNUMBER(R29),R29,IF(LEFT(R29,3)="BDI",HLOOKUP(R29,DADOS!$T$37:$X$38,2,0),0)),15-11*$X$5)</f>
        <v>0.2642</v>
      </c>
      <c r="AA29" s="150"/>
    </row>
    <row r="30" customFormat="false" ht="12.75" hidden="false" customHeight="true" outlineLevel="0" collapsed="false">
      <c r="A30" s="0" t="str">
        <f aca="false">CHOOSE(1+LOG(1+2*(J30="Meta")+4*(J30="Nível 2")+8*(J30="Nível 3")+16*(J30="Nível 4")+32*(J30="Serviço"),2),0,1,2,3,4,"S")</f>
        <v>S</v>
      </c>
      <c r="B30" s="0" t="n">
        <f aca="false">IF(OR(A30="S",A30=0),0,IF(ISERROR(I30),H30,SMALL(H30:I30,1)))</f>
        <v>0</v>
      </c>
      <c r="C30" s="0" t="n">
        <f aca="true">IF($A30=1,OFFSET(C30,-1,0)+1,OFFSET(C30,-1,0))</f>
        <v>1</v>
      </c>
      <c r="D30" s="0" t="n">
        <f aca="true">IF($A30=1,0,IF($A30=2,OFFSET(D30,-1,0)+1,OFFSET(D30,-1,0)))</f>
        <v>0</v>
      </c>
      <c r="E30" s="0" t="n">
        <f aca="true">IF(AND($A30&lt;=2,$A30&lt;&gt;0),0,IF($A30=3,OFFSET(E30,-1,0)+1,OFFSET(E30,-1,0)))</f>
        <v>0</v>
      </c>
      <c r="F30" s="0" t="n">
        <f aca="true">IF(AND($A30&lt;=3,$A30&lt;&gt;0),0,IF($A30=4,OFFSET(F30,-1,0)+1,OFFSET(F30,-1,0)))</f>
        <v>0</v>
      </c>
      <c r="G30" s="0" t="n">
        <f aca="true">IF(AND($A30&lt;=4,$A30&lt;&gt;0),0,IF($A30="S",OFFSET(G30,-1,0)+1,OFFSET(G30,-1,0)))</f>
        <v>17</v>
      </c>
      <c r="H30" s="0" t="n">
        <f aca="true">IF(OR($A30="S",$A30=0),0,MATCH(0,OFFSET($B30,1,$A30,ROW($A$31)-ROW($A30)),0))</f>
        <v>0</v>
      </c>
      <c r="I30" s="0" t="n">
        <f aca="true">IF(OR($A30="S",$A30=0),0,MATCH(OFFSET($B30,0,$A30)+1,OFFSET($B30,1,$A30,ROW($A$31)-ROW($A30)),0))</f>
        <v>0</v>
      </c>
      <c r="J30" s="168" t="s">
        <v>191</v>
      </c>
      <c r="K30" s="169" t="str">
        <f aca="false">IF($A30=0,"-",CONCATENATE(C30&amp;".",IF(AND($A$5&gt;=2,$A30&gt;=2),D30&amp;".",""),IF(AND($A$5&gt;=3,$A30&gt;=3),E30&amp;".",""),IF(AND($A$5&gt;=4,$A30&gt;=4),F30&amp;".",""),IF($A30="S",G30&amp;".","")))</f>
        <v>1.17.</v>
      </c>
      <c r="L30" s="170"/>
      <c r="M30" s="170"/>
      <c r="N30" s="171" t="str">
        <f aca="true">IF($A30="S",Referencia.Descricao,"(digite a descrição aqui)")</f>
        <v/>
      </c>
      <c r="O30" s="172" t="str">
        <f aca="true">Referencia.Unidade</f>
        <v/>
      </c>
      <c r="P30" s="173" t="n">
        <v>0</v>
      </c>
      <c r="Q30" s="174"/>
      <c r="R30" s="175" t="s">
        <v>34</v>
      </c>
      <c r="S30" s="176" t="n">
        <f aca="false">IF($A30="S",IF($Q$10="Preço Unitário (R$)",PO.CustoUnitario,ROUND(PO.CustoUnitario*(1+$Z30),15-13*$X$6)),0)</f>
        <v>0</v>
      </c>
      <c r="T30" s="177" t="n">
        <f aca="true">IF($A30="S",VTOTAL1,IF($A30=0,0,ROUND(SomaAgrup,15-13*$X$7)))</f>
        <v>0</v>
      </c>
      <c r="U30" s="178" t="str">
        <f aca="false">IF($J30="","",IF($N30="","DESCRIÇÃO",IF(AND($J30="Serviço",$O30=""),"UNIDADE",IF($T30&lt;=0,"SEM VALOR",IF(AND($Y30&lt;&gt;"",$Q30&gt;$Y30),"ACIMA REF.","")))))</f>
        <v>DESCRIÇÃO</v>
      </c>
      <c r="V30" s="150" t="str">
        <f aca="true">IF(OR($A30=0,$A30="S",$A30&gt;CFF!$A$9),"",MAX(V$12:OFFSET(V30,-1,0))+1)</f>
        <v/>
      </c>
      <c r="W30" s="160" t="n">
        <f aca="false">IF(AND($J30="Serviço",$M30&lt;&gt;""),IF($L30="",$M30,CONCATENATE($L30,"-",$M30)))</f>
        <v>0</v>
      </c>
      <c r="X30" s="150" t="str">
        <f aca="true">IF(AND(Fonte&lt;&gt;"",Código&lt;&gt;""),MATCH(Fonte&amp;" "&amp;IF(Fonte="sinapi",SUBSTITUTE(SUBSTITUTE(Código,"/00","/"),"/0","/"),Código),INDIRECT("'[Referência "&amp;_xlnm.Database&amp;".xls]Banco'!$a:$a"),0),"X")</f>
        <v>X</v>
      </c>
      <c r="Y30" s="176" t="n">
        <f aca="true">IF(Import.Desoneracao="sim",Referencia.Desonerado,Referencia.NaoDesonerado)</f>
        <v>0</v>
      </c>
      <c r="Z30" s="179" t="n">
        <f aca="false">ROUND(IF(ISNUMBER(R30),R30,IF(LEFT(R30,3)="BDI",HLOOKUP(R30,DADOS!$T$37:$X$38,2,0),0)),15-11*$X$5)</f>
        <v>0.2642</v>
      </c>
      <c r="AA30" s="150"/>
    </row>
    <row r="31" customFormat="false" ht="12.75" hidden="false" customHeight="false" outlineLevel="0" collapsed="false">
      <c r="A31" s="0" t="n">
        <v>-1</v>
      </c>
      <c r="C31" s="0" t="n">
        <v>0</v>
      </c>
      <c r="D31" s="0" t="n">
        <v>0</v>
      </c>
      <c r="E31" s="0" t="n">
        <v>0</v>
      </c>
      <c r="F31" s="0" t="n">
        <v>0</v>
      </c>
      <c r="G31" s="0" t="n">
        <v>0</v>
      </c>
      <c r="J31" s="189"/>
      <c r="K31" s="189"/>
      <c r="L31" s="189"/>
      <c r="M31" s="189"/>
      <c r="N31" s="189"/>
      <c r="O31" s="189"/>
      <c r="P31" s="189"/>
      <c r="Q31" s="189"/>
      <c r="R31" s="189"/>
      <c r="S31" s="189"/>
      <c r="T31" s="189"/>
      <c r="U31" s="150"/>
      <c r="V31" s="150"/>
      <c r="W31" s="150"/>
      <c r="X31" s="150"/>
      <c r="Y31" s="150"/>
      <c r="Z31" s="150"/>
      <c r="AA31" s="150"/>
    </row>
    <row r="32" customFormat="false" ht="14.25" hidden="false" customHeight="false" outlineLevel="0" collapsed="false">
      <c r="A32" s="150"/>
      <c r="B32" s="150"/>
      <c r="C32" s="150"/>
      <c r="D32" s="150"/>
      <c r="E32" s="150"/>
      <c r="F32" s="150"/>
      <c r="G32" s="150"/>
      <c r="H32" s="150"/>
      <c r="I32" s="150"/>
      <c r="J32" s="150"/>
      <c r="K32" s="190" t="s">
        <v>222</v>
      </c>
      <c r="L32" s="150"/>
      <c r="M32" s="191" t="s">
        <v>223</v>
      </c>
      <c r="N32" s="191"/>
      <c r="O32" s="191"/>
      <c r="P32" s="191"/>
      <c r="Q32" s="191"/>
      <c r="R32" s="191"/>
      <c r="S32" s="191"/>
      <c r="T32" s="191"/>
      <c r="U32" s="150"/>
      <c r="V32" s="150"/>
      <c r="W32" s="150"/>
      <c r="X32" s="150"/>
      <c r="Y32" s="150"/>
      <c r="Z32" s="150"/>
      <c r="AA32" s="150"/>
    </row>
    <row r="33" customFormat="false" ht="12.75" hidden="false" customHeight="false" outlineLevel="0" collapsed="false">
      <c r="A33" s="150"/>
      <c r="B33" s="150"/>
      <c r="C33" s="150"/>
      <c r="D33" s="150"/>
      <c r="E33" s="150"/>
      <c r="F33" s="150"/>
      <c r="G33" s="150"/>
      <c r="H33" s="150"/>
      <c r="I33" s="150"/>
      <c r="J33" s="150"/>
      <c r="K33" s="150"/>
      <c r="L33" s="150"/>
      <c r="M33" s="150"/>
      <c r="N33" s="150"/>
      <c r="O33" s="150"/>
      <c r="P33" s="150"/>
      <c r="Q33" s="150"/>
      <c r="R33" s="150"/>
      <c r="S33" s="150"/>
      <c r="T33" s="150"/>
      <c r="U33" s="150"/>
      <c r="V33" s="150"/>
      <c r="W33" s="150"/>
      <c r="X33" s="150"/>
      <c r="Y33" s="150"/>
      <c r="Z33" s="150"/>
      <c r="AA33" s="150"/>
    </row>
    <row r="34" customFormat="false" ht="14.25" hidden="false" customHeight="false" outlineLevel="0" collapsed="false">
      <c r="A34" s="150"/>
      <c r="B34" s="150"/>
      <c r="C34" s="150"/>
      <c r="D34" s="150"/>
      <c r="E34" s="150"/>
      <c r="F34" s="150"/>
      <c r="G34" s="150"/>
      <c r="H34" s="150"/>
      <c r="I34" s="150"/>
      <c r="J34" s="150"/>
      <c r="K34" s="192" t="s">
        <v>170</v>
      </c>
      <c r="L34" s="151"/>
      <c r="M34" s="151"/>
      <c r="N34" s="151"/>
      <c r="O34" s="151"/>
      <c r="P34" s="151"/>
      <c r="Q34" s="151"/>
      <c r="R34" s="151"/>
      <c r="S34" s="151"/>
      <c r="T34" s="193"/>
      <c r="U34" s="150"/>
      <c r="V34" s="150"/>
      <c r="W34" s="150"/>
      <c r="X34" s="150"/>
      <c r="Y34" s="150"/>
      <c r="Z34" s="150"/>
      <c r="AA34" s="150"/>
    </row>
    <row r="35" customFormat="false" ht="12.75" hidden="false" customHeight="true" outlineLevel="0" collapsed="false">
      <c r="A35" s="150"/>
      <c r="B35" s="150"/>
      <c r="C35" s="150"/>
      <c r="D35" s="150"/>
      <c r="E35" s="150"/>
      <c r="F35" s="150"/>
      <c r="G35" s="150"/>
      <c r="H35" s="150"/>
      <c r="I35" s="150"/>
      <c r="J35" s="150"/>
      <c r="K35" s="194"/>
      <c r="L35" s="194"/>
      <c r="M35" s="194"/>
      <c r="N35" s="194"/>
      <c r="O35" s="194"/>
      <c r="P35" s="194"/>
      <c r="Q35" s="194"/>
      <c r="R35" s="194"/>
      <c r="S35" s="194"/>
      <c r="T35" s="194"/>
      <c r="U35" s="150"/>
      <c r="V35" s="150"/>
      <c r="W35" s="150"/>
      <c r="X35" s="150"/>
      <c r="Y35" s="150"/>
      <c r="Z35" s="150"/>
      <c r="AA35" s="150"/>
    </row>
    <row r="36" customFormat="false" ht="12.75" hidden="false" customHeight="false" outlineLevel="0" collapsed="false">
      <c r="A36" s="150"/>
      <c r="B36" s="150"/>
      <c r="C36" s="150"/>
      <c r="D36" s="150"/>
      <c r="E36" s="150"/>
      <c r="F36" s="150"/>
      <c r="G36" s="150"/>
      <c r="H36" s="150"/>
      <c r="I36" s="150"/>
      <c r="J36" s="150"/>
      <c r="K36" s="194"/>
      <c r="L36" s="194"/>
      <c r="M36" s="194"/>
      <c r="N36" s="194"/>
      <c r="O36" s="194"/>
      <c r="P36" s="194"/>
      <c r="Q36" s="194"/>
      <c r="R36" s="194"/>
      <c r="S36" s="194"/>
      <c r="T36" s="194"/>
      <c r="U36" s="150"/>
      <c r="V36" s="150"/>
      <c r="W36" s="150"/>
      <c r="X36" s="150"/>
      <c r="Y36" s="150"/>
      <c r="Z36" s="150"/>
      <c r="AA36" s="150"/>
    </row>
    <row r="37" customFormat="false" ht="12.75" hidden="false" customHeight="false" outlineLevel="0" collapsed="false">
      <c r="A37" s="150"/>
      <c r="B37" s="150"/>
      <c r="C37" s="150"/>
      <c r="D37" s="150"/>
      <c r="E37" s="150"/>
      <c r="F37" s="150"/>
      <c r="G37" s="150"/>
      <c r="H37" s="150"/>
      <c r="I37" s="150"/>
      <c r="J37" s="150"/>
      <c r="K37" s="194"/>
      <c r="L37" s="194"/>
      <c r="M37" s="194"/>
      <c r="N37" s="194"/>
      <c r="O37" s="194"/>
      <c r="P37" s="194"/>
      <c r="Q37" s="194"/>
      <c r="R37" s="194"/>
      <c r="S37" s="194"/>
      <c r="T37" s="194"/>
      <c r="U37" s="150"/>
      <c r="V37" s="150"/>
      <c r="W37" s="150"/>
      <c r="X37" s="150"/>
      <c r="Y37" s="150"/>
      <c r="Z37" s="150"/>
      <c r="AA37" s="150"/>
    </row>
    <row r="38" customFormat="false" ht="14.25" hidden="false" customHeight="false" outlineLevel="0" collapsed="false">
      <c r="A38" s="150"/>
      <c r="B38" s="150"/>
      <c r="C38" s="150"/>
      <c r="D38" s="150"/>
      <c r="E38" s="150"/>
      <c r="F38" s="150"/>
      <c r="G38" s="150"/>
      <c r="H38" s="150"/>
      <c r="I38" s="150"/>
      <c r="J38" s="150"/>
      <c r="K38" s="195"/>
      <c r="L38" s="195"/>
      <c r="M38" s="195"/>
      <c r="N38" s="195"/>
      <c r="O38" s="195"/>
      <c r="P38" s="195"/>
      <c r="Q38" s="195"/>
      <c r="R38" s="195"/>
      <c r="S38" s="195"/>
      <c r="T38" s="195"/>
      <c r="U38" s="150"/>
      <c r="V38" s="150"/>
      <c r="W38" s="150"/>
      <c r="X38" s="150"/>
      <c r="Y38" s="150"/>
      <c r="Z38" s="150"/>
      <c r="AA38" s="150"/>
    </row>
    <row r="39" customFormat="false" ht="15" hidden="false" customHeight="false" outlineLevel="0" collapsed="false">
      <c r="A39" s="150"/>
      <c r="B39" s="150"/>
      <c r="C39" s="150"/>
      <c r="D39" s="150"/>
      <c r="E39" s="150"/>
      <c r="F39" s="150"/>
      <c r="G39" s="150"/>
      <c r="H39" s="150"/>
      <c r="I39" s="150"/>
      <c r="J39" s="150"/>
      <c r="K39" s="196" t="str">
        <f aca="false">IF(AND($X$3=0,$X$4=0,$X$5=0,$X$6=0,$X$7=0),"Não foi considerado arredondamento nos valores da planilha.",CONCATENATE("Foi considerado arredondamento de duas casas decimais para ",IF($X$3=1,"Quantidade; ",""),IF($X$4=1,"Custo Unitário; ",""),IF($X$5=1,"BDI; ",""),IF($X$6=1,"Preço Unitário; ",""),IF($X$7=1,"Preço Total.","")))</f>
        <v>Foi considerado arredondamento de duas casas decimais para Quantidade; Custo Unitário; BDI; Preço Unitário; Preço Total.</v>
      </c>
      <c r="L39" s="196"/>
      <c r="M39" s="196"/>
      <c r="N39" s="196"/>
      <c r="O39" s="196"/>
      <c r="P39" s="196"/>
      <c r="Q39" s="196"/>
      <c r="R39" s="196"/>
      <c r="S39" s="196"/>
      <c r="T39" s="196"/>
      <c r="U39" s="150"/>
      <c r="V39" s="150"/>
      <c r="W39" s="150"/>
      <c r="X39" s="150"/>
      <c r="Y39" s="150"/>
      <c r="Z39" s="150"/>
      <c r="AA39" s="150"/>
    </row>
    <row r="40" customFormat="false" ht="12.75" hidden="false" customHeight="false" outlineLevel="0" collapsed="false">
      <c r="A40" s="150"/>
      <c r="B40" s="150"/>
      <c r="C40" s="150"/>
      <c r="D40" s="150"/>
      <c r="E40" s="150"/>
      <c r="F40" s="150"/>
      <c r="G40" s="150"/>
      <c r="H40" s="150"/>
      <c r="I40" s="150"/>
      <c r="J40" s="150"/>
      <c r="K40" s="150"/>
      <c r="L40" s="150"/>
      <c r="M40" s="150"/>
      <c r="N40" s="150"/>
      <c r="O40" s="150"/>
      <c r="P40" s="150"/>
      <c r="Q40" s="150"/>
      <c r="R40" s="150"/>
      <c r="S40" s="150"/>
      <c r="T40" s="150"/>
      <c r="U40" s="150"/>
      <c r="V40" s="150"/>
      <c r="W40" s="150"/>
      <c r="X40" s="150"/>
      <c r="Y40" s="150"/>
      <c r="Z40" s="150"/>
      <c r="AA40" s="150"/>
    </row>
    <row r="41" customFormat="false" ht="21" hidden="false" customHeight="true" outlineLevel="0" collapsed="false">
      <c r="A41" s="150"/>
      <c r="B41" s="150"/>
      <c r="C41" s="150"/>
      <c r="D41" s="150"/>
      <c r="E41" s="150"/>
      <c r="F41" s="150"/>
      <c r="G41" s="150"/>
      <c r="H41" s="150"/>
      <c r="I41" s="150"/>
      <c r="J41" s="150"/>
      <c r="K41" s="150"/>
      <c r="L41" s="150"/>
      <c r="M41" s="150"/>
      <c r="N41" s="150"/>
      <c r="O41" s="150"/>
      <c r="P41" s="150"/>
      <c r="Q41" s="150"/>
      <c r="R41" s="150"/>
      <c r="S41" s="150"/>
      <c r="T41" s="150"/>
      <c r="U41" s="150"/>
      <c r="V41" s="150"/>
      <c r="W41" s="150"/>
      <c r="X41" s="150"/>
      <c r="Y41" s="150"/>
      <c r="Z41" s="150"/>
      <c r="AA41" s="150"/>
    </row>
    <row r="42" customFormat="false" ht="12.75" hidden="false" customHeight="false" outlineLevel="0" collapsed="false">
      <c r="A42" s="150"/>
      <c r="B42" s="150"/>
      <c r="C42" s="150"/>
      <c r="D42" s="150"/>
      <c r="E42" s="150"/>
      <c r="F42" s="150"/>
      <c r="G42" s="150"/>
      <c r="H42" s="150"/>
      <c r="I42" s="150"/>
      <c r="J42" s="150"/>
      <c r="K42" s="197" t="str">
        <f aca="false">Import.Município</f>
        <v>PARAGUAÇU PAULISTA</v>
      </c>
      <c r="L42" s="197"/>
      <c r="M42" s="197"/>
      <c r="N42" s="150"/>
      <c r="O42" s="150"/>
      <c r="P42" s="150"/>
      <c r="Q42" s="150"/>
      <c r="R42" s="150"/>
      <c r="S42" s="150"/>
      <c r="T42" s="150"/>
      <c r="U42" s="150"/>
      <c r="V42" s="150"/>
      <c r="W42" s="150"/>
      <c r="X42" s="150"/>
      <c r="Y42" s="150"/>
      <c r="Z42" s="150"/>
      <c r="AA42" s="150"/>
    </row>
    <row r="43" customFormat="false" ht="12.75" hidden="false" customHeight="false" outlineLevel="0" collapsed="false">
      <c r="A43" s="150"/>
      <c r="B43" s="150"/>
      <c r="C43" s="150"/>
      <c r="D43" s="150"/>
      <c r="E43" s="150"/>
      <c r="F43" s="150"/>
      <c r="G43" s="150"/>
      <c r="H43" s="150"/>
      <c r="I43" s="150"/>
      <c r="J43" s="150"/>
      <c r="K43" s="198" t="s">
        <v>171</v>
      </c>
      <c r="L43" s="150"/>
      <c r="M43" s="150"/>
      <c r="N43" s="150"/>
      <c r="O43" s="150"/>
      <c r="P43" s="150"/>
      <c r="Q43" s="150"/>
      <c r="R43" s="150"/>
      <c r="S43" s="150"/>
      <c r="T43" s="150"/>
      <c r="U43" s="150"/>
      <c r="V43" s="150"/>
      <c r="W43" s="150"/>
      <c r="X43" s="150"/>
      <c r="Y43" s="150"/>
      <c r="Z43" s="150"/>
      <c r="AA43" s="150"/>
    </row>
    <row r="44" customFormat="false" ht="12.75" hidden="false" customHeight="false" outlineLevel="0" collapsed="false">
      <c r="A44" s="150"/>
      <c r="B44" s="150"/>
      <c r="C44" s="150"/>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0"/>
    </row>
    <row r="45" customFormat="false" ht="12.75" hidden="false" customHeight="false" outlineLevel="0" collapsed="false">
      <c r="A45" s="150"/>
      <c r="B45" s="150"/>
      <c r="C45" s="150"/>
      <c r="D45" s="150"/>
      <c r="E45" s="150"/>
      <c r="F45" s="150"/>
      <c r="G45" s="150"/>
      <c r="H45" s="150"/>
      <c r="I45" s="150"/>
      <c r="J45" s="150"/>
      <c r="K45" s="199" t="n">
        <f aca="true">TODAY()</f>
        <v>43740</v>
      </c>
      <c r="L45" s="199"/>
      <c r="M45" s="199"/>
      <c r="N45" s="150"/>
      <c r="O45" s="150"/>
      <c r="P45" s="150"/>
      <c r="Q45" s="150"/>
      <c r="R45" s="150"/>
      <c r="S45" s="150"/>
      <c r="T45" s="150"/>
      <c r="U45" s="150"/>
      <c r="V45" s="150"/>
      <c r="W45" s="150"/>
      <c r="X45" s="150"/>
      <c r="Y45" s="150"/>
      <c r="Z45" s="150"/>
      <c r="AA45" s="150"/>
    </row>
    <row r="46" customFormat="false" ht="12.75" hidden="false" customHeight="false" outlineLevel="0" collapsed="false">
      <c r="A46" s="150"/>
      <c r="B46" s="150"/>
      <c r="C46" s="150"/>
      <c r="D46" s="150"/>
      <c r="E46" s="150"/>
      <c r="F46" s="150"/>
      <c r="G46" s="150"/>
      <c r="H46" s="150"/>
      <c r="I46" s="150"/>
      <c r="J46" s="150"/>
      <c r="K46" s="200" t="s">
        <v>172</v>
      </c>
      <c r="L46" s="189"/>
      <c r="M46" s="189"/>
      <c r="N46" s="150"/>
      <c r="O46" s="150"/>
      <c r="P46" s="150"/>
      <c r="Q46" s="150"/>
      <c r="R46" s="150"/>
      <c r="S46" s="150"/>
      <c r="T46" s="150"/>
      <c r="U46" s="150"/>
      <c r="V46" s="150"/>
      <c r="W46" s="150"/>
      <c r="X46" s="150"/>
      <c r="Y46" s="150"/>
      <c r="Z46" s="150"/>
      <c r="AA46" s="150"/>
    </row>
  </sheetData>
  <sheetProtection sheet="true" password="c95b" objects="true" scenarios="true"/>
  <mergeCells count="6">
    <mergeCell ref="W2:X2"/>
    <mergeCell ref="M32:T32"/>
    <mergeCell ref="K35:T37"/>
    <mergeCell ref="K39:T39"/>
    <mergeCell ref="K42:M42"/>
    <mergeCell ref="K45:M45"/>
  </mergeCells>
  <conditionalFormatting sqref="O12:R12 L12:M12">
    <cfRule type="expression" priority="2" aboveAverage="0" equalAverage="0" bottom="0" percent="0" rank="0" text="" dxfId="17">
      <formula>$J12=$C$2</formula>
    </cfRule>
    <cfRule type="expression" priority="3" aboveAverage="0" equalAverage="0" bottom="0" percent="0" rank="0" text="" dxfId="18">
      <formula>UPPER(LEFT($J12,5))="NÍVEL"</formula>
    </cfRule>
    <cfRule type="expression" priority="4" aboveAverage="0" equalAverage="0" bottom="0" percent="0" rank="0" text="" dxfId="19">
      <formula>$J12=$C$8</formula>
    </cfRule>
  </conditionalFormatting>
  <conditionalFormatting sqref="Y12:Z12 S12:T12 K12">
    <cfRule type="expression" priority="5" aboveAverage="0" equalAverage="0" bottom="0" percent="0" rank="0" text="" dxfId="20">
      <formula>$J12=$C$2</formula>
    </cfRule>
    <cfRule type="expression" priority="6" aboveAverage="0" equalAverage="0" bottom="0" percent="0" rank="0" text="" dxfId="21">
      <formula>UPPER(LEFT($J12,5))="NÍVEL"</formula>
    </cfRule>
  </conditionalFormatting>
  <conditionalFormatting sqref="K11 K13:K30">
    <cfRule type="expression" priority="7" aboveAverage="0" equalAverage="0" bottom="0" percent="0" rank="0" text="" dxfId="22">
      <formula>$J11=$C$2</formula>
    </cfRule>
    <cfRule type="expression" priority="8" aboveAverage="0" equalAverage="0" bottom="0" percent="0" rank="0" text="" dxfId="23">
      <formula>AND($J11&lt;&gt;"",$J11&lt;&gt;"Serviço")</formula>
    </cfRule>
    <cfRule type="expression" priority="9" aboveAverage="0" equalAverage="0" bottom="0" percent="0" rank="0" text="" dxfId="24">
      <formula>$J11=""</formula>
    </cfRule>
  </conditionalFormatting>
  <conditionalFormatting sqref="P11 P13:P30">
    <cfRule type="expression" priority="10" aboveAverage="0" equalAverage="0" bottom="0" percent="0" rank="0" text="" dxfId="25">
      <formula>$J11=$C$2</formula>
    </cfRule>
    <cfRule type="expression" priority="11" aboveAverage="0" equalAverage="0" bottom="0" percent="0" rank="0" text="" dxfId="26">
      <formula>AND($J11&lt;&gt;"Serviço")</formula>
    </cfRule>
    <cfRule type="expression" priority="12" aboveAverage="0" equalAverage="0" bottom="0" percent="0" rank="0" text="" dxfId="27">
      <formula>CELL("proteger",P11)</formula>
    </cfRule>
  </conditionalFormatting>
  <conditionalFormatting sqref="Q11:R11 Q13:R30">
    <cfRule type="expression" priority="13" aboveAverage="0" equalAverage="0" bottom="0" percent="0" rank="0" text="" dxfId="28">
      <formula>$J11=$C$2</formula>
    </cfRule>
    <cfRule type="expression" priority="14" aboveAverage="0" equalAverage="0" bottom="0" percent="0" rank="0" text="" dxfId="29">
      <formula>$J11&lt;&gt;"Serviço"</formula>
    </cfRule>
    <cfRule type="expression" priority="15" aboveAverage="0" equalAverage="0" bottom="0" percent="0" rank="0" text="" dxfId="30">
      <formula>CELL("proteger",Q11)</formula>
    </cfRule>
  </conditionalFormatting>
  <conditionalFormatting sqref="S11:T11 Y11:Z11 S13:T30 Y13:Z30">
    <cfRule type="expression" priority="16" aboveAverage="0" equalAverage="0" bottom="0" percent="0" rank="0" text="" dxfId="31">
      <formula>$J11=$C$2</formula>
    </cfRule>
    <cfRule type="expression" priority="17" aboveAverage="0" equalAverage="0" bottom="0" percent="0" rank="0" text="" dxfId="32">
      <formula>$J11&lt;&gt;"Serviço"</formula>
    </cfRule>
  </conditionalFormatting>
  <conditionalFormatting sqref="L11:M11 L13:M30">
    <cfRule type="expression" priority="18" aboveAverage="0" equalAverage="0" bottom="0" percent="0" rank="0" text="" dxfId="33">
      <formula>$J11=$C$2</formula>
    </cfRule>
    <cfRule type="expression" priority="19" aboveAverage="0" equalAverage="0" bottom="0" percent="0" rank="0" text="" dxfId="34">
      <formula>$J11&lt;&gt;"Serviço"</formula>
    </cfRule>
    <cfRule type="expression" priority="20" aboveAverage="0" equalAverage="0" bottom="0" percent="0" rank="0" text="" dxfId="35">
      <formula>OR(CELL("proteger",L11),$J11="",TipoOrçamento="Licitado")</formula>
    </cfRule>
  </conditionalFormatting>
  <conditionalFormatting sqref="K32:T32">
    <cfRule type="expression" priority="21" aboveAverage="0" equalAverage="0" bottom="0" percent="0" rank="0" text="" dxfId="36">
      <formula>OR(tipo.orçamento="LICITADO",tipo.orçamento="REPROGRAMADOAC")</formula>
    </cfRule>
    <cfRule type="expression" priority="22" aboveAverage="0" equalAverage="0" bottom="0" percent="0" rank="0" text="" dxfId="37">
      <formula>$M$32=""</formula>
    </cfRule>
  </conditionalFormatting>
  <conditionalFormatting sqref="J11 J13:J30">
    <cfRule type="expression" priority="23" aboveAverage="0" equalAverage="0" bottom="0" percent="0" rank="0" text="" dxfId="38">
      <formula>TipoOrçamento="Licitado"</formula>
    </cfRule>
  </conditionalFormatting>
  <conditionalFormatting sqref="O11 O13:O30">
    <cfRule type="expression" priority="24" aboveAverage="0" equalAverage="0" bottom="0" percent="0" rank="0" text="" dxfId="39">
      <formula>$J11=$C$2</formula>
    </cfRule>
    <cfRule type="expression" priority="25" aboveAverage="0" equalAverage="0" bottom="0" percent="0" rank="0" text="" dxfId="40">
      <formula>AND($J11&lt;&gt;"Serviço")</formula>
    </cfRule>
    <cfRule type="expression" priority="26" aboveAverage="0" equalAverage="0" bottom="0" percent="0" rank="0" text="" dxfId="41">
      <formula>CELL("proteger",O11)</formula>
    </cfRule>
  </conditionalFormatting>
  <conditionalFormatting sqref="N11 N13:N30">
    <cfRule type="expression" priority="27" aboveAverage="0" equalAverage="0" bottom="0" percent="0" rank="0" text="" dxfId="42">
      <formula>$J11=$C$2</formula>
    </cfRule>
    <cfRule type="expression" priority="28" aboveAverage="0" equalAverage="0" bottom="0" percent="0" rank="0" text="" dxfId="43">
      <formula>$J11&lt;&gt;"Serviço"</formula>
    </cfRule>
    <cfRule type="expression" priority="29" aboveAverage="0" equalAverage="0" bottom="0" percent="0" rank="0" text="" dxfId="44">
      <formula>CELL("proteger",N11)</formula>
    </cfRule>
  </conditionalFormatting>
  <dataValidations count="3">
    <dataValidation allowBlank="true" error="Apenas números decimais maiores que zero." operator="greaterThan" showDropDown="false" showErrorMessage="true" showInputMessage="true" sqref="Q11 Q13:Q30" type="decimal">
      <formula1>0</formula1>
      <formula2>0</formula2>
    </dataValidation>
    <dataValidation allowBlank="true" error="Selecione um dos 5 BDI da lista.&#10;&#10;Caso tenha mais de 5 BDI nesta Planilha Orçamentária digite apenas valor percentual." operator="between" showDropDown="false" showErrorMessage="true" showInputMessage="true" sqref="R11 R13:R30" type="list">
      <formula1>Dados.Lista.BDI</formula1>
      <formula2>0</formula2>
    </dataValidation>
    <dataValidation allowBlank="false" error="Selecione somente os itens da lista." errorTitle="Erro de Entrada" operator="between" prompt="Selecione na lista o nível de itemização da Planilha." promptTitle="Nível:" showDropDown="false" showErrorMessage="true" showInputMessage="true" sqref="J11 J14:J30" type="list">
      <formula1>$C$2:$G$2</formula1>
      <formula2>0</formula2>
    </dataValidation>
  </dataValidations>
  <printOptions headings="false" gridLines="false" gridLinesSet="true" horizontalCentered="false" verticalCentered="false"/>
  <pageMargins left="0.7875" right="0.7875" top="0.786805555555556" bottom="0.786805555555556" header="0.590277777777778" footer="0.590277777777778"/>
  <pageSetup paperSize="9" scale="100" firstPageNumber="0" fitToWidth="1" fitToHeight="0" pageOrder="downThenOver" orientation="landscape" blackAndWhite="false" draft="false" cellComments="none" useFirstPageNumber="false" horizontalDpi="300" verticalDpi="300" copies="1"/>
  <headerFooter differentFirst="false" differentOddEven="false">
    <oddHeader>&amp;C&amp;14I</oddHeader>
    <oddFooter>&amp;L27.476 v007   micro&amp;R&amp;P</oddFooter>
  </headerFooter>
  <drawing r:id="rId1"/>
</worksheet>
</file>

<file path=xl/worksheets/sheet4.xml><?xml version="1.0" encoding="utf-8"?>
<worksheet xmlns="http://schemas.openxmlformats.org/spreadsheetml/2006/main" xmlns:r="http://schemas.openxmlformats.org/officeDocument/2006/relationships">
  <sheetPr filterMode="false">
    <pageSetUpPr fitToPage="false"/>
  </sheetPr>
  <dimension ref="A1:U37"/>
  <sheetViews>
    <sheetView showFormulas="false" showGridLines="false" showRowColHeaders="true" showZeros="true" rightToLeft="false" tabSelected="false" showOutlineSymbols="true" defaultGridColor="true" view="normal" topLeftCell="A1" colorId="64" zoomScale="85" zoomScaleNormal="85" zoomScalePageLayoutView="100" workbookViewId="0">
      <pane xSplit="5" ySplit="10" topLeftCell="F11" activePane="bottomRight" state="frozen"/>
      <selection pane="topLeft" activeCell="A1" activeCellId="0" sqref="A1"/>
      <selection pane="topRight" activeCell="F1" activeCellId="0" sqref="F1"/>
      <selection pane="bottomLeft" activeCell="A11" activeCellId="0" sqref="A11"/>
      <selection pane="bottomRight" activeCell="F11" activeCellId="0" sqref="F11"/>
    </sheetView>
  </sheetViews>
  <sheetFormatPr defaultRowHeight="12.75" zeroHeight="false" outlineLevelRow="0" outlineLevelCol="0"/>
  <cols>
    <col collapsed="false" customWidth="true" hidden="false" outlineLevel="0" max="1" min="1" style="0" width="12.71"/>
    <col collapsed="false" customWidth="true" hidden="false" outlineLevel="0" max="2" min="2" style="0" width="10.71"/>
    <col collapsed="false" customWidth="true" hidden="false" outlineLevel="0" max="3" min="3" style="0" width="60.58"/>
    <col collapsed="false" customWidth="true" hidden="false" outlineLevel="0" max="4" min="4" style="0" width="7.71"/>
    <col collapsed="false" customWidth="true" hidden="false" outlineLevel="0" max="5" min="5" style="0" width="12.71"/>
    <col collapsed="false" customWidth="true" hidden="false" outlineLevel="0" max="15" min="6" style="0" width="11.71"/>
    <col collapsed="false" customWidth="true" hidden="false" outlineLevel="0" max="16" min="16" style="0" width="0.86"/>
    <col collapsed="false" customWidth="true" hidden="false" outlineLevel="0" max="20" min="17" style="0" width="8.67"/>
    <col collapsed="false" customWidth="true" hidden="true" outlineLevel="0" max="21" min="21" style="0" width="11.71"/>
    <col collapsed="false" customWidth="true" hidden="false" outlineLevel="0" max="1025" min="22" style="0" width="8.67"/>
  </cols>
  <sheetData>
    <row r="1" s="150" customFormat="true" ht="17.25" hidden="false" customHeight="true" outlineLevel="0" collapsed="false">
      <c r="E1" s="201" t="s">
        <v>224</v>
      </c>
      <c r="F1" s="202" t="s">
        <v>225</v>
      </c>
      <c r="K1" s="203"/>
    </row>
    <row r="2" s="150" customFormat="true" ht="15.75" hidden="false" customHeight="false" outlineLevel="0" collapsed="false">
      <c r="D2" s="204"/>
      <c r="E2" s="201"/>
      <c r="F2" s="202"/>
      <c r="K2" s="205"/>
    </row>
    <row r="3" s="150" customFormat="true" ht="12.75" hidden="false" customHeight="false" outlineLevel="0" collapsed="false">
      <c r="K3" s="151"/>
      <c r="P3" s="151"/>
    </row>
    <row r="4" s="150" customFormat="true" ht="39.95" hidden="false" customHeight="true" outlineLevel="0" collapsed="false">
      <c r="P4" s="151"/>
    </row>
    <row r="5" s="150" customFormat="true" ht="39.95" hidden="false" customHeight="true" outlineLevel="0" collapsed="false">
      <c r="P5" s="151"/>
    </row>
    <row r="6" s="150" customFormat="true" ht="20.25" hidden="false" customHeight="true" outlineLevel="0" collapsed="false">
      <c r="P6" s="151"/>
    </row>
    <row r="7" s="150" customFormat="true" ht="12.75" hidden="true" customHeight="true" outlineLevel="0" collapsed="false">
      <c r="E7" s="162" t="n">
        <f aca="true">OFFSET(PO!$P$12,ROW($E7)-ROW(E$12),0)</f>
        <v>0</v>
      </c>
      <c r="P7" s="151"/>
    </row>
    <row r="8" s="150" customFormat="true" ht="9.95" hidden="false" customHeight="true" outlineLevel="0" collapsed="false">
      <c r="P8" s="151"/>
    </row>
    <row r="9" s="150" customFormat="true" ht="60" hidden="false" customHeight="true" outlineLevel="0" collapsed="false">
      <c r="B9" s="206"/>
      <c r="C9" s="207"/>
      <c r="D9" s="160"/>
      <c r="E9" s="208" t="s">
        <v>152</v>
      </c>
      <c r="F9" s="209" t="s">
        <v>226</v>
      </c>
      <c r="G9" s="209"/>
      <c r="H9" s="209"/>
      <c r="I9" s="209"/>
      <c r="J9" s="209"/>
      <c r="K9" s="209"/>
      <c r="L9" s="209"/>
      <c r="M9" s="209"/>
      <c r="N9" s="209"/>
      <c r="O9" s="209"/>
      <c r="U9" s="209"/>
    </row>
    <row r="10" s="213" customFormat="true" ht="30" hidden="false" customHeight="true" outlineLevel="0" collapsed="false">
      <c r="A10" s="210" t="s">
        <v>201</v>
      </c>
      <c r="B10" s="210" t="s">
        <v>210</v>
      </c>
      <c r="C10" s="210" t="s">
        <v>213</v>
      </c>
      <c r="D10" s="211" t="s">
        <v>227</v>
      </c>
      <c r="E10" s="210" t="s">
        <v>194</v>
      </c>
      <c r="F10" s="212" t="n">
        <f aca="true">IF(OFFSET(F10,0,-1)="Quantidade",1,OFFSET(F10,0,-1)+1)</f>
        <v>1</v>
      </c>
      <c r="G10" s="212" t="n">
        <f aca="true">IF(OFFSET(G10,0,-1)="Quantidade",1,OFFSET(G10,0,-1)+1)</f>
        <v>2</v>
      </c>
      <c r="H10" s="212" t="n">
        <f aca="true">IF(OFFSET(H10,0,-1)="Quantidade",1,OFFSET(H10,0,-1)+1)</f>
        <v>3</v>
      </c>
      <c r="I10" s="212" t="n">
        <f aca="true">IF(OFFSET(I10,0,-1)="Quantidade",1,OFFSET(I10,0,-1)+1)</f>
        <v>4</v>
      </c>
      <c r="J10" s="212" t="n">
        <f aca="true">IF(OFFSET(J10,0,-1)="Quantidade",1,OFFSET(J10,0,-1)+1)</f>
        <v>5</v>
      </c>
      <c r="K10" s="212" t="n">
        <f aca="true">IF(OFFSET(K10,0,-1)="Quantidade",1,OFFSET(K10,0,-1)+1)</f>
        <v>6</v>
      </c>
      <c r="L10" s="212" t="n">
        <f aca="true">IF(OFFSET(L10,0,-1)="Quantidade",1,OFFSET(L10,0,-1)+1)</f>
        <v>7</v>
      </c>
      <c r="M10" s="212" t="n">
        <f aca="true">IF(OFFSET(M10,0,-1)="Quantidade",1,OFFSET(M10,0,-1)+1)</f>
        <v>8</v>
      </c>
      <c r="N10" s="212" t="n">
        <f aca="true">IF(OFFSET(N10,0,-1)="Quantidade",1,OFFSET(N10,0,-1)+1)</f>
        <v>9</v>
      </c>
      <c r="O10" s="212" t="n">
        <f aca="true">IF(OFFSET(O10,0,-1)="Quantidade",1,OFFSET(O10,0,-1)+1)</f>
        <v>10</v>
      </c>
      <c r="U10" s="212" t="n">
        <f aca="true">IF(OFFSET(U10,0,-1)="Quantidade",1,OFFSET(U10,0,-1)+1)</f>
        <v>1</v>
      </c>
    </row>
    <row r="11" s="150" customFormat="true" ht="12.75" hidden="true" customHeight="false" outlineLevel="0" collapsed="false">
      <c r="A11" s="214" t="str">
        <f aca="true">OFFSET(PO!J$12,ROW(A11)-ROW($A$12),0)</f>
        <v>Serviço</v>
      </c>
      <c r="B11" s="215" t="e">
        <f aca="true">IF($A11=0,"",OFFSET(PO!K$12,ROW(B11)-ROW(B$12),0))</f>
        <v>#VALUE!</v>
      </c>
      <c r="C11" s="216" t="str">
        <f aca="true">IF(OFFSET(PO!N$12,ROW(C11)-ROW(C$12),0)=0,"",OFFSET(PO!N$12,ROW(C11)-ROW(C$12),0))</f>
        <v/>
      </c>
      <c r="D11" s="217" t="str">
        <f aca="true">IF(OFFSET(PO!O$12,ROW(D11)-ROW(D$12),0)=0,"",OFFSET(PO!O$12,ROW(D11)-ROW(D$12),0))</f>
        <v/>
      </c>
      <c r="E11" s="218" t="n">
        <f aca="false">IF($A11&lt;&gt;"Serviço",0,ROUND(SUMIF($F$9:$P$9,"&lt;&gt;",$F11:$P11),15-13*PO!$X$3))</f>
        <v>0</v>
      </c>
      <c r="F11" s="219" t="n">
        <f aca="true">OFFSET(PO!$P$12,ROW($E11)-ROW(F$12),0)</f>
        <v>0</v>
      </c>
      <c r="G11" s="219"/>
      <c r="H11" s="219"/>
      <c r="I11" s="219"/>
      <c r="J11" s="219"/>
      <c r="K11" s="219"/>
      <c r="L11" s="219"/>
      <c r="M11" s="219"/>
      <c r="N11" s="219"/>
      <c r="O11" s="219"/>
      <c r="U11" s="219"/>
    </row>
    <row r="12" s="150" customFormat="true" ht="12.75" hidden="false" customHeight="false" outlineLevel="0" collapsed="false">
      <c r="A12" s="180" t="str">
        <f aca="false">PO!J12</f>
        <v>LOTE</v>
      </c>
      <c r="B12" s="180"/>
      <c r="C12" s="180" t="n">
        <f aca="false">PO!N12</f>
        <v>0</v>
      </c>
      <c r="D12" s="180"/>
      <c r="E12" s="220"/>
      <c r="F12" s="221"/>
      <c r="G12" s="221"/>
      <c r="H12" s="221"/>
      <c r="I12" s="221"/>
      <c r="J12" s="221"/>
      <c r="K12" s="221"/>
      <c r="L12" s="221"/>
      <c r="M12" s="221"/>
      <c r="N12" s="221"/>
      <c r="O12" s="221"/>
      <c r="U12" s="221"/>
    </row>
    <row r="13" s="150" customFormat="true" ht="12.75" hidden="false" customHeight="false" outlineLevel="0" collapsed="false">
      <c r="A13" s="222" t="str">
        <f aca="true">OFFSET(PO!J$12,ROW(A13)-ROW($A$12),0)</f>
        <v>Meta</v>
      </c>
      <c r="B13" s="215" t="str">
        <f aca="true">IF($A13=0,"",OFFSET(PO!K$12,ROW(B13)-ROW(B$12),0))</f>
        <v>1.</v>
      </c>
      <c r="C13" s="216" t="str">
        <f aca="true">IF(OFFSET(PO!N$12,ROW(C13)-ROW(C$12),0)=0,"",OFFSET(PO!N$12,ROW(C13)-ROW(C$12),0))</f>
        <v>(digite a descrição aqui)</v>
      </c>
      <c r="D13" s="217" t="str">
        <f aca="true">IF(OFFSET(PO!O$12,ROW(D13)-ROW(D$12),0)=0,"",OFFSET(PO!O$12,ROW(D13)-ROW(D$12),0))</f>
        <v/>
      </c>
      <c r="E13" s="218" t="n">
        <f aca="false">IF($A13&lt;&gt;"Serviço",0,ROUND(SUMIF($F$9:$P$9,"&lt;&gt;",$F13:$P13),15-13*PO!$X$3))</f>
        <v>0</v>
      </c>
      <c r="F13" s="219" t="n">
        <f aca="true">OFFSET(PO!$P$12,ROW($E13)-ROW(F$12),0)</f>
        <v>0</v>
      </c>
      <c r="G13" s="219"/>
      <c r="H13" s="219"/>
      <c r="I13" s="219"/>
      <c r="J13" s="219"/>
      <c r="K13" s="219"/>
      <c r="L13" s="219"/>
      <c r="M13" s="219"/>
      <c r="N13" s="219"/>
      <c r="O13" s="219"/>
      <c r="U13" s="219"/>
    </row>
    <row r="14" s="150" customFormat="true" ht="12.75" hidden="false" customHeight="false" outlineLevel="0" collapsed="false">
      <c r="A14" s="214" t="str">
        <f aca="true">OFFSET(PO!J$12,ROW(A14)-ROW($A$12),0)</f>
        <v>Serviço</v>
      </c>
      <c r="B14" s="215" t="str">
        <f aca="true">IF($A14=0,"",OFFSET(PO!K$12,ROW(B14)-ROW(B$12),0))</f>
        <v>1.1.</v>
      </c>
      <c r="C14" s="216" t="str">
        <f aca="true">IF(OFFSET(PO!N$12,ROW(C14)-ROW(C$12),0)=0,"",OFFSET(PO!N$12,ROW(C14)-ROW(C$12),0))</f>
        <v/>
      </c>
      <c r="D14" s="217" t="str">
        <f aca="true">IF(OFFSET(PO!O$12,ROW(D14)-ROW(D$12),0)=0,"",OFFSET(PO!O$12,ROW(D14)-ROW(D$12),0))</f>
        <v/>
      </c>
      <c r="E14" s="218" t="n">
        <f aca="false">IF($A14&lt;&gt;"Serviço",0,ROUND(SUMIF($F$9:$P$9,"&lt;&gt;",$F14:$P14),15-13*PO!$X$3))</f>
        <v>0</v>
      </c>
      <c r="F14" s="219" t="n">
        <f aca="true">OFFSET(PO!$P$12,ROW($E14)-ROW(F$12),0)</f>
        <v>0</v>
      </c>
      <c r="G14" s="219"/>
      <c r="H14" s="219"/>
      <c r="I14" s="219"/>
      <c r="J14" s="219"/>
      <c r="K14" s="219"/>
      <c r="L14" s="219"/>
      <c r="M14" s="219"/>
      <c r="N14" s="219"/>
      <c r="O14" s="219"/>
      <c r="U14" s="219"/>
    </row>
    <row r="15" s="150" customFormat="true" ht="12.75" hidden="false" customHeight="false" outlineLevel="0" collapsed="false">
      <c r="A15" s="214" t="str">
        <f aca="true">OFFSET(PO!J$12,ROW(A15)-ROW($A$12),0)</f>
        <v>Serviço</v>
      </c>
      <c r="B15" s="215" t="str">
        <f aca="true">IF($A15=0,"",OFFSET(PO!K$12,ROW(B15)-ROW(B$12),0))</f>
        <v>1.2.</v>
      </c>
      <c r="C15" s="216" t="str">
        <f aca="true">IF(OFFSET(PO!N$12,ROW(C15)-ROW(C$12),0)=0,"",OFFSET(PO!N$12,ROW(C15)-ROW(C$12),0))</f>
        <v/>
      </c>
      <c r="D15" s="217" t="str">
        <f aca="true">IF(OFFSET(PO!O$12,ROW(D15)-ROW(D$12),0)=0,"",OFFSET(PO!O$12,ROW(D15)-ROW(D$12),0))</f>
        <v/>
      </c>
      <c r="E15" s="218" t="n">
        <f aca="false">IF($A15&lt;&gt;"Serviço",0,ROUND(SUMIF($F$9:$P$9,"&lt;&gt;",$F15:$P15),15-13*PO!$X$3))</f>
        <v>0</v>
      </c>
      <c r="F15" s="219" t="n">
        <f aca="true">OFFSET(PO!$P$12,ROW($E15)-ROW(F$12),0)</f>
        <v>0</v>
      </c>
      <c r="G15" s="219"/>
      <c r="H15" s="219"/>
      <c r="I15" s="219"/>
      <c r="J15" s="219"/>
      <c r="K15" s="219"/>
      <c r="L15" s="219"/>
      <c r="M15" s="219"/>
      <c r="N15" s="219"/>
      <c r="O15" s="219"/>
      <c r="U15" s="219"/>
    </row>
    <row r="16" s="150" customFormat="true" ht="12.75" hidden="false" customHeight="false" outlineLevel="0" collapsed="false">
      <c r="A16" s="214" t="str">
        <f aca="true">OFFSET(PO!J$12,ROW(A16)-ROW($A$12),0)</f>
        <v>Serviço</v>
      </c>
      <c r="B16" s="215" t="str">
        <f aca="true">IF($A16=0,"",OFFSET(PO!K$12,ROW(B16)-ROW(B$12),0))</f>
        <v>1.3.</v>
      </c>
      <c r="C16" s="216" t="str">
        <f aca="true">IF(OFFSET(PO!N$12,ROW(C16)-ROW(C$12),0)=0,"",OFFSET(PO!N$12,ROW(C16)-ROW(C$12),0))</f>
        <v/>
      </c>
      <c r="D16" s="217" t="str">
        <f aca="true">IF(OFFSET(PO!O$12,ROW(D16)-ROW(D$12),0)=0,"",OFFSET(PO!O$12,ROW(D16)-ROW(D$12),0))</f>
        <v/>
      </c>
      <c r="E16" s="218" t="n">
        <f aca="false">IF($A16&lt;&gt;"Serviço",0,ROUND(SUMIF($F$9:$P$9,"&lt;&gt;",$F16:$P16),15-13*PO!$X$3))</f>
        <v>0</v>
      </c>
      <c r="F16" s="219" t="n">
        <f aca="true">OFFSET(PO!$P$12,ROW($E16)-ROW(F$12),0)</f>
        <v>0</v>
      </c>
      <c r="G16" s="219"/>
      <c r="H16" s="219"/>
      <c r="I16" s="219"/>
      <c r="J16" s="219"/>
      <c r="K16" s="219"/>
      <c r="L16" s="219"/>
      <c r="M16" s="219"/>
      <c r="N16" s="219"/>
      <c r="O16" s="219"/>
      <c r="U16" s="219"/>
    </row>
    <row r="17" s="150" customFormat="true" ht="12.75" hidden="false" customHeight="false" outlineLevel="0" collapsed="false">
      <c r="A17" s="214" t="str">
        <f aca="true">OFFSET(PO!J$12,ROW(A17)-ROW($A$12),0)</f>
        <v>Serviço</v>
      </c>
      <c r="B17" s="215" t="str">
        <f aca="true">IF($A17=0,"",OFFSET(PO!K$12,ROW(B17)-ROW(B$12),0))</f>
        <v>1.4.</v>
      </c>
      <c r="C17" s="216" t="str">
        <f aca="true">IF(OFFSET(PO!N$12,ROW(C17)-ROW(C$12),0)=0,"",OFFSET(PO!N$12,ROW(C17)-ROW(C$12),0))</f>
        <v/>
      </c>
      <c r="D17" s="217" t="str">
        <f aca="true">IF(OFFSET(PO!O$12,ROW(D17)-ROW(D$12),0)=0,"",OFFSET(PO!O$12,ROW(D17)-ROW(D$12),0))</f>
        <v/>
      </c>
      <c r="E17" s="218" t="n">
        <f aca="false">IF($A17&lt;&gt;"Serviço",0,ROUND(SUMIF($F$9:$P$9,"&lt;&gt;",$F17:$P17),15-13*PO!$X$3))</f>
        <v>0</v>
      </c>
      <c r="F17" s="219" t="n">
        <f aca="true">OFFSET(PO!$P$12,ROW($E17)-ROW(F$12),0)</f>
        <v>0</v>
      </c>
      <c r="G17" s="219"/>
      <c r="H17" s="219"/>
      <c r="I17" s="219"/>
      <c r="J17" s="219"/>
      <c r="K17" s="219"/>
      <c r="L17" s="219"/>
      <c r="M17" s="219"/>
      <c r="N17" s="219"/>
      <c r="O17" s="219"/>
      <c r="U17" s="219"/>
    </row>
    <row r="18" s="150" customFormat="true" ht="12.75" hidden="false" customHeight="false" outlineLevel="0" collapsed="false">
      <c r="A18" s="214" t="str">
        <f aca="true">OFFSET(PO!J$12,ROW(A18)-ROW($A$12),0)</f>
        <v>Serviço</v>
      </c>
      <c r="B18" s="215" t="str">
        <f aca="true">IF($A18=0,"",OFFSET(PO!K$12,ROW(B18)-ROW(B$12),0))</f>
        <v>1.5.</v>
      </c>
      <c r="C18" s="216" t="str">
        <f aca="true">IF(OFFSET(PO!N$12,ROW(C18)-ROW(C$12),0)=0,"",OFFSET(PO!N$12,ROW(C18)-ROW(C$12),0))</f>
        <v/>
      </c>
      <c r="D18" s="217" t="str">
        <f aca="true">IF(OFFSET(PO!O$12,ROW(D18)-ROW(D$12),0)=0,"",OFFSET(PO!O$12,ROW(D18)-ROW(D$12),0))</f>
        <v/>
      </c>
      <c r="E18" s="218" t="n">
        <f aca="false">IF($A18&lt;&gt;"Serviço",0,ROUND(SUMIF($F$9:$P$9,"&lt;&gt;",$F18:$P18),15-13*PO!$X$3))</f>
        <v>0</v>
      </c>
      <c r="F18" s="219" t="n">
        <f aca="true">OFFSET(PO!$P$12,ROW($E18)-ROW(F$12),0)</f>
        <v>0</v>
      </c>
      <c r="G18" s="219"/>
      <c r="H18" s="219"/>
      <c r="I18" s="219"/>
      <c r="J18" s="219"/>
      <c r="K18" s="219"/>
      <c r="L18" s="219"/>
      <c r="M18" s="219"/>
      <c r="N18" s="219"/>
      <c r="O18" s="219"/>
      <c r="U18" s="219"/>
    </row>
    <row r="19" s="150" customFormat="true" ht="12.75" hidden="false" customHeight="false" outlineLevel="0" collapsed="false">
      <c r="A19" s="214" t="str">
        <f aca="true">OFFSET(PO!J$12,ROW(A19)-ROW($A$12),0)</f>
        <v>Serviço</v>
      </c>
      <c r="B19" s="215" t="str">
        <f aca="true">IF($A19=0,"",OFFSET(PO!K$12,ROW(B19)-ROW(B$12),0))</f>
        <v>1.6.</v>
      </c>
      <c r="C19" s="216" t="str">
        <f aca="true">IF(OFFSET(PO!N$12,ROW(C19)-ROW(C$12),0)=0,"",OFFSET(PO!N$12,ROW(C19)-ROW(C$12),0))</f>
        <v/>
      </c>
      <c r="D19" s="217" t="str">
        <f aca="true">IF(OFFSET(PO!O$12,ROW(D19)-ROW(D$12),0)=0,"",OFFSET(PO!O$12,ROW(D19)-ROW(D$12),0))</f>
        <v/>
      </c>
      <c r="E19" s="218" t="n">
        <f aca="false">IF($A19&lt;&gt;"Serviço",0,ROUND(SUMIF($F$9:$P$9,"&lt;&gt;",$F19:$P19),15-13*PO!$X$3))</f>
        <v>0</v>
      </c>
      <c r="F19" s="219" t="n">
        <f aca="true">OFFSET(PO!$P$12,ROW($E19)-ROW(F$12),0)</f>
        <v>0</v>
      </c>
      <c r="G19" s="219"/>
      <c r="H19" s="219"/>
      <c r="I19" s="219"/>
      <c r="J19" s="219"/>
      <c r="K19" s="219"/>
      <c r="L19" s="219"/>
      <c r="M19" s="219"/>
      <c r="N19" s="219"/>
      <c r="O19" s="219"/>
      <c r="U19" s="219"/>
    </row>
    <row r="20" s="150" customFormat="true" ht="12.75" hidden="false" customHeight="false" outlineLevel="0" collapsed="false">
      <c r="A20" s="214" t="str">
        <f aca="true">OFFSET(PO!J$12,ROW(A20)-ROW($A$12),0)</f>
        <v>Serviço</v>
      </c>
      <c r="B20" s="215" t="str">
        <f aca="true">IF($A20=0,"",OFFSET(PO!K$12,ROW(B20)-ROW(B$12),0))</f>
        <v>1.7.</v>
      </c>
      <c r="C20" s="216" t="str">
        <f aca="true">IF(OFFSET(PO!N$12,ROW(C20)-ROW(C$12),0)=0,"",OFFSET(PO!N$12,ROW(C20)-ROW(C$12),0))</f>
        <v/>
      </c>
      <c r="D20" s="217" t="str">
        <f aca="true">IF(OFFSET(PO!O$12,ROW(D20)-ROW(D$12),0)=0,"",OFFSET(PO!O$12,ROW(D20)-ROW(D$12),0))</f>
        <v/>
      </c>
      <c r="E20" s="218" t="n">
        <f aca="false">IF($A20&lt;&gt;"Serviço",0,ROUND(SUMIF($F$9:$P$9,"&lt;&gt;",$F20:$P20),15-13*PO!$X$3))</f>
        <v>0</v>
      </c>
      <c r="F20" s="219" t="n">
        <f aca="true">OFFSET(PO!$P$12,ROW($E20)-ROW(F$12),0)</f>
        <v>0</v>
      </c>
      <c r="G20" s="219"/>
      <c r="H20" s="219"/>
      <c r="I20" s="219"/>
      <c r="J20" s="219"/>
      <c r="K20" s="219"/>
      <c r="L20" s="219"/>
      <c r="M20" s="219"/>
      <c r="N20" s="219"/>
      <c r="O20" s="219"/>
      <c r="U20" s="219"/>
    </row>
    <row r="21" s="150" customFormat="true" ht="12.75" hidden="false" customHeight="false" outlineLevel="0" collapsed="false">
      <c r="A21" s="214" t="str">
        <f aca="true">OFFSET(PO!J$12,ROW(A21)-ROW($A$12),0)</f>
        <v>Serviço</v>
      </c>
      <c r="B21" s="215" t="str">
        <f aca="true">IF($A21=0,"",OFFSET(PO!K$12,ROW(B21)-ROW(B$12),0))</f>
        <v>1.8.</v>
      </c>
      <c r="C21" s="216" t="str">
        <f aca="true">IF(OFFSET(PO!N$12,ROW(C21)-ROW(C$12),0)=0,"",OFFSET(PO!N$12,ROW(C21)-ROW(C$12),0))</f>
        <v/>
      </c>
      <c r="D21" s="217" t="str">
        <f aca="true">IF(OFFSET(PO!O$12,ROW(D21)-ROW(D$12),0)=0,"",OFFSET(PO!O$12,ROW(D21)-ROW(D$12),0))</f>
        <v/>
      </c>
      <c r="E21" s="218" t="n">
        <f aca="false">IF($A21&lt;&gt;"Serviço",0,ROUND(SUMIF($F$9:$P$9,"&lt;&gt;",$F21:$P21),15-13*PO!$X$3))</f>
        <v>0</v>
      </c>
      <c r="F21" s="219" t="n">
        <f aca="true">OFFSET(PO!$P$12,ROW($E21)-ROW(F$12),0)</f>
        <v>0</v>
      </c>
      <c r="G21" s="219"/>
      <c r="H21" s="219"/>
      <c r="I21" s="219"/>
      <c r="J21" s="219"/>
      <c r="K21" s="219"/>
      <c r="L21" s="219"/>
      <c r="M21" s="219"/>
      <c r="N21" s="219"/>
      <c r="O21" s="219"/>
      <c r="U21" s="219"/>
    </row>
    <row r="22" s="150" customFormat="true" ht="12.75" hidden="false" customHeight="false" outlineLevel="0" collapsed="false">
      <c r="A22" s="214" t="str">
        <f aca="true">OFFSET(PO!J$12,ROW(A22)-ROW($A$12),0)</f>
        <v>Serviço</v>
      </c>
      <c r="B22" s="215" t="str">
        <f aca="true">IF($A22=0,"",OFFSET(PO!K$12,ROW(B22)-ROW(B$12),0))</f>
        <v>1.9.</v>
      </c>
      <c r="C22" s="216" t="str">
        <f aca="true">IF(OFFSET(PO!N$12,ROW(C22)-ROW(C$12),0)=0,"",OFFSET(PO!N$12,ROW(C22)-ROW(C$12),0))</f>
        <v/>
      </c>
      <c r="D22" s="217" t="str">
        <f aca="true">IF(OFFSET(PO!O$12,ROW(D22)-ROW(D$12),0)=0,"",OFFSET(PO!O$12,ROW(D22)-ROW(D$12),0))</f>
        <v/>
      </c>
      <c r="E22" s="218" t="n">
        <f aca="false">IF($A22&lt;&gt;"Serviço",0,ROUND(SUMIF($F$9:$P$9,"&lt;&gt;",$F22:$P22),15-13*PO!$X$3))</f>
        <v>0</v>
      </c>
      <c r="F22" s="219" t="n">
        <f aca="true">OFFSET(PO!$P$12,ROW($E22)-ROW(F$12),0)</f>
        <v>0</v>
      </c>
      <c r="G22" s="219"/>
      <c r="H22" s="219"/>
      <c r="I22" s="219"/>
      <c r="J22" s="219"/>
      <c r="K22" s="219"/>
      <c r="L22" s="219"/>
      <c r="M22" s="219"/>
      <c r="N22" s="219"/>
      <c r="O22" s="219"/>
      <c r="U22" s="219"/>
    </row>
    <row r="23" s="150" customFormat="true" ht="12.75" hidden="false" customHeight="false" outlineLevel="0" collapsed="false">
      <c r="A23" s="214" t="str">
        <f aca="true">OFFSET(PO!J$12,ROW(A23)-ROW($A$12),0)</f>
        <v>Serviço</v>
      </c>
      <c r="B23" s="215" t="str">
        <f aca="true">IF($A23=0,"",OFFSET(PO!K$12,ROW(B23)-ROW(B$12),0))</f>
        <v>1.10.</v>
      </c>
      <c r="C23" s="216" t="str">
        <f aca="true">IF(OFFSET(PO!N$12,ROW(C23)-ROW(C$12),0)=0,"",OFFSET(PO!N$12,ROW(C23)-ROW(C$12),0))</f>
        <v/>
      </c>
      <c r="D23" s="217" t="str">
        <f aca="true">IF(OFFSET(PO!O$12,ROW(D23)-ROW(D$12),0)=0,"",OFFSET(PO!O$12,ROW(D23)-ROW(D$12),0))</f>
        <v/>
      </c>
      <c r="E23" s="218" t="n">
        <f aca="false">IF($A23&lt;&gt;"Serviço",0,ROUND(SUMIF($F$9:$P$9,"&lt;&gt;",$F23:$P23),15-13*PO!$X$3))</f>
        <v>0</v>
      </c>
      <c r="F23" s="219" t="n">
        <f aca="true">OFFSET(PO!$P$12,ROW($E23)-ROW(F$12),0)</f>
        <v>0</v>
      </c>
      <c r="G23" s="219"/>
      <c r="H23" s="219"/>
      <c r="I23" s="219"/>
      <c r="J23" s="219"/>
      <c r="K23" s="219"/>
      <c r="L23" s="219"/>
      <c r="M23" s="219"/>
      <c r="N23" s="219"/>
      <c r="O23" s="219"/>
      <c r="U23" s="219"/>
    </row>
    <row r="24" s="150" customFormat="true" ht="12.75" hidden="false" customHeight="false" outlineLevel="0" collapsed="false">
      <c r="A24" s="214" t="str">
        <f aca="true">OFFSET(PO!J$12,ROW(A24)-ROW($A$12),0)</f>
        <v>Serviço</v>
      </c>
      <c r="B24" s="215" t="str">
        <f aca="true">IF($A24=0,"",OFFSET(PO!K$12,ROW(B24)-ROW(B$12),0))</f>
        <v>1.11.</v>
      </c>
      <c r="C24" s="216" t="str">
        <f aca="true">IF(OFFSET(PO!N$12,ROW(C24)-ROW(C$12),0)=0,"",OFFSET(PO!N$12,ROW(C24)-ROW(C$12),0))</f>
        <v/>
      </c>
      <c r="D24" s="217" t="str">
        <f aca="true">IF(OFFSET(PO!O$12,ROW(D24)-ROW(D$12),0)=0,"",OFFSET(PO!O$12,ROW(D24)-ROW(D$12),0))</f>
        <v/>
      </c>
      <c r="E24" s="218" t="n">
        <f aca="false">IF($A24&lt;&gt;"Serviço",0,ROUND(SUMIF($F$9:$P$9,"&lt;&gt;",$F24:$P24),15-13*PO!$X$3))</f>
        <v>0</v>
      </c>
      <c r="F24" s="219" t="n">
        <f aca="true">OFFSET(PO!$P$12,ROW($E24)-ROW(F$12),0)</f>
        <v>0</v>
      </c>
      <c r="G24" s="219"/>
      <c r="H24" s="219"/>
      <c r="I24" s="219"/>
      <c r="J24" s="219"/>
      <c r="K24" s="219"/>
      <c r="L24" s="219"/>
      <c r="M24" s="219"/>
      <c r="N24" s="219"/>
      <c r="O24" s="219"/>
      <c r="U24" s="219"/>
    </row>
    <row r="25" s="150" customFormat="true" ht="12.75" hidden="false" customHeight="false" outlineLevel="0" collapsed="false">
      <c r="A25" s="214" t="str">
        <f aca="true">OFFSET(PO!J$12,ROW(A25)-ROW($A$12),0)</f>
        <v>Serviço</v>
      </c>
      <c r="B25" s="215" t="str">
        <f aca="true">IF($A25=0,"",OFFSET(PO!K$12,ROW(B25)-ROW(B$12),0))</f>
        <v>1.12.</v>
      </c>
      <c r="C25" s="216" t="str">
        <f aca="true">IF(OFFSET(PO!N$12,ROW(C25)-ROW(C$12),0)=0,"",OFFSET(PO!N$12,ROW(C25)-ROW(C$12),0))</f>
        <v/>
      </c>
      <c r="D25" s="217" t="str">
        <f aca="true">IF(OFFSET(PO!O$12,ROW(D25)-ROW(D$12),0)=0,"",OFFSET(PO!O$12,ROW(D25)-ROW(D$12),0))</f>
        <v/>
      </c>
      <c r="E25" s="218" t="n">
        <f aca="false">IF($A25&lt;&gt;"Serviço",0,ROUND(SUMIF($F$9:$P$9,"&lt;&gt;",$F25:$P25),15-13*PO!$X$3))</f>
        <v>0</v>
      </c>
      <c r="F25" s="219" t="n">
        <f aca="true">OFFSET(PO!$P$12,ROW($E25)-ROW(F$12),0)</f>
        <v>0</v>
      </c>
      <c r="G25" s="219"/>
      <c r="H25" s="219"/>
      <c r="I25" s="219"/>
      <c r="J25" s="219"/>
      <c r="K25" s="219"/>
      <c r="L25" s="219"/>
      <c r="M25" s="219"/>
      <c r="N25" s="219"/>
      <c r="O25" s="219"/>
      <c r="U25" s="219"/>
    </row>
    <row r="26" s="150" customFormat="true" ht="12.75" hidden="false" customHeight="false" outlineLevel="0" collapsed="false">
      <c r="A26" s="214" t="str">
        <f aca="true">OFFSET(PO!J$12,ROW(A26)-ROW($A$12),0)</f>
        <v>Serviço</v>
      </c>
      <c r="B26" s="215" t="str">
        <f aca="true">IF($A26=0,"",OFFSET(PO!K$12,ROW(B26)-ROW(B$12),0))</f>
        <v>1.13.</v>
      </c>
      <c r="C26" s="216" t="str">
        <f aca="true">IF(OFFSET(PO!N$12,ROW(C26)-ROW(C$12),0)=0,"",OFFSET(PO!N$12,ROW(C26)-ROW(C$12),0))</f>
        <v/>
      </c>
      <c r="D26" s="217" t="str">
        <f aca="true">IF(OFFSET(PO!O$12,ROW(D26)-ROW(D$12),0)=0,"",OFFSET(PO!O$12,ROW(D26)-ROW(D$12),0))</f>
        <v/>
      </c>
      <c r="E26" s="218" t="n">
        <f aca="false">IF($A26&lt;&gt;"Serviço",0,ROUND(SUMIF($F$9:$P$9,"&lt;&gt;",$F26:$P26),15-13*PO!$X$3))</f>
        <v>0</v>
      </c>
      <c r="F26" s="219" t="n">
        <f aca="true">OFFSET(PO!$P$12,ROW($E26)-ROW(F$12),0)</f>
        <v>0</v>
      </c>
      <c r="G26" s="219"/>
      <c r="H26" s="219"/>
      <c r="I26" s="219"/>
      <c r="J26" s="219"/>
      <c r="K26" s="219"/>
      <c r="L26" s="219"/>
      <c r="M26" s="219"/>
      <c r="N26" s="219"/>
      <c r="O26" s="219"/>
      <c r="U26" s="219"/>
    </row>
    <row r="27" s="150" customFormat="true" ht="12.75" hidden="false" customHeight="false" outlineLevel="0" collapsed="false">
      <c r="A27" s="214" t="str">
        <f aca="true">OFFSET(PO!J$12,ROW(A27)-ROW($A$12),0)</f>
        <v>Serviço</v>
      </c>
      <c r="B27" s="215" t="str">
        <f aca="true">IF($A27=0,"",OFFSET(PO!K$12,ROW(B27)-ROW(B$12),0))</f>
        <v>1.14.</v>
      </c>
      <c r="C27" s="216" t="str">
        <f aca="true">IF(OFFSET(PO!N$12,ROW(C27)-ROW(C$12),0)=0,"",OFFSET(PO!N$12,ROW(C27)-ROW(C$12),0))</f>
        <v/>
      </c>
      <c r="D27" s="217" t="str">
        <f aca="true">IF(OFFSET(PO!O$12,ROW(D27)-ROW(D$12),0)=0,"",OFFSET(PO!O$12,ROW(D27)-ROW(D$12),0))</f>
        <v/>
      </c>
      <c r="E27" s="218" t="n">
        <f aca="false">IF($A27&lt;&gt;"Serviço",0,ROUND(SUMIF($F$9:$P$9,"&lt;&gt;",$F27:$P27),15-13*PO!$X$3))</f>
        <v>0</v>
      </c>
      <c r="F27" s="219" t="n">
        <f aca="true">OFFSET(PO!$P$12,ROW($E27)-ROW(F$12),0)</f>
        <v>0</v>
      </c>
      <c r="G27" s="219"/>
      <c r="H27" s="219"/>
      <c r="I27" s="219"/>
      <c r="J27" s="219"/>
      <c r="K27" s="219"/>
      <c r="L27" s="219"/>
      <c r="M27" s="219"/>
      <c r="N27" s="219"/>
      <c r="O27" s="219"/>
      <c r="U27" s="219"/>
    </row>
    <row r="28" s="150" customFormat="true" ht="12.75" hidden="false" customHeight="false" outlineLevel="0" collapsed="false">
      <c r="A28" s="214" t="str">
        <f aca="true">OFFSET(PO!J$12,ROW(A28)-ROW($A$12),0)</f>
        <v>Serviço</v>
      </c>
      <c r="B28" s="215" t="str">
        <f aca="true">IF($A28=0,"",OFFSET(PO!K$12,ROW(B28)-ROW(B$12),0))</f>
        <v>1.15.</v>
      </c>
      <c r="C28" s="216" t="str">
        <f aca="true">IF(OFFSET(PO!N$12,ROW(C28)-ROW(C$12),0)=0,"",OFFSET(PO!N$12,ROW(C28)-ROW(C$12),0))</f>
        <v/>
      </c>
      <c r="D28" s="217" t="str">
        <f aca="true">IF(OFFSET(PO!O$12,ROW(D28)-ROW(D$12),0)=0,"",OFFSET(PO!O$12,ROW(D28)-ROW(D$12),0))</f>
        <v/>
      </c>
      <c r="E28" s="218" t="n">
        <f aca="false">IF($A28&lt;&gt;"Serviço",0,ROUND(SUMIF($F$9:$P$9,"&lt;&gt;",$F28:$P28),15-13*PO!$X$3))</f>
        <v>0</v>
      </c>
      <c r="F28" s="219" t="n">
        <f aca="true">OFFSET(PO!$P$12,ROW($E28)-ROW(F$12),0)</f>
        <v>0</v>
      </c>
      <c r="G28" s="219"/>
      <c r="H28" s="219"/>
      <c r="I28" s="219"/>
      <c r="J28" s="219"/>
      <c r="K28" s="219"/>
      <c r="L28" s="219"/>
      <c r="M28" s="219"/>
      <c r="N28" s="219"/>
      <c r="O28" s="219"/>
      <c r="U28" s="219"/>
    </row>
    <row r="29" s="150" customFormat="true" ht="12.75" hidden="false" customHeight="false" outlineLevel="0" collapsed="false">
      <c r="A29" s="214" t="str">
        <f aca="true">OFFSET(PO!J$12,ROW(A29)-ROW($A$12),0)</f>
        <v>Serviço</v>
      </c>
      <c r="B29" s="215" t="str">
        <f aca="true">IF($A29=0,"",OFFSET(PO!K$12,ROW(B29)-ROW(B$12),0))</f>
        <v>1.16.</v>
      </c>
      <c r="C29" s="216" t="str">
        <f aca="true">IF(OFFSET(PO!N$12,ROW(C29)-ROW(C$12),0)=0,"",OFFSET(PO!N$12,ROW(C29)-ROW(C$12),0))</f>
        <v/>
      </c>
      <c r="D29" s="217" t="str">
        <f aca="true">IF(OFFSET(PO!O$12,ROW(D29)-ROW(D$12),0)=0,"",OFFSET(PO!O$12,ROW(D29)-ROW(D$12),0))</f>
        <v/>
      </c>
      <c r="E29" s="218" t="n">
        <f aca="false">IF($A29&lt;&gt;"Serviço",0,ROUND(SUMIF($F$9:$P$9,"&lt;&gt;",$F29:$P29),15-13*PO!$X$3))</f>
        <v>0</v>
      </c>
      <c r="F29" s="219" t="n">
        <f aca="true">OFFSET(PO!$P$12,ROW($E29)-ROW(F$12),0)</f>
        <v>0</v>
      </c>
      <c r="G29" s="219"/>
      <c r="H29" s="219"/>
      <c r="I29" s="219"/>
      <c r="J29" s="219"/>
      <c r="K29" s="219"/>
      <c r="L29" s="219"/>
      <c r="M29" s="219"/>
      <c r="N29" s="219"/>
      <c r="O29" s="219"/>
      <c r="U29" s="219"/>
    </row>
    <row r="30" s="150" customFormat="true" ht="12.75" hidden="false" customHeight="false" outlineLevel="0" collapsed="false">
      <c r="A30" s="214" t="str">
        <f aca="true">OFFSET(PO!J$12,ROW(A30)-ROW($A$12),0)</f>
        <v>Serviço</v>
      </c>
      <c r="B30" s="215" t="str">
        <f aca="true">IF($A30=0,"",OFFSET(PO!K$12,ROW(B30)-ROW(B$12),0))</f>
        <v>1.17.</v>
      </c>
      <c r="C30" s="216" t="str">
        <f aca="true">IF(OFFSET(PO!N$12,ROW(C30)-ROW(C$12),0)=0,"",OFFSET(PO!N$12,ROW(C30)-ROW(C$12),0))</f>
        <v/>
      </c>
      <c r="D30" s="217" t="str">
        <f aca="true">IF(OFFSET(PO!O$12,ROW(D30)-ROW(D$12),0)=0,"",OFFSET(PO!O$12,ROW(D30)-ROW(D$12),0))</f>
        <v/>
      </c>
      <c r="E30" s="218" t="n">
        <f aca="false">IF($A30&lt;&gt;"Serviço",0,ROUND(SUMIF($F$9:$P$9,"&lt;&gt;",$F30:$P30),15-13*PO!$X$3))</f>
        <v>0</v>
      </c>
      <c r="F30" s="219" t="n">
        <f aca="true">OFFSET(PO!$P$12,ROW($E30)-ROW(F$12),0)</f>
        <v>0</v>
      </c>
      <c r="G30" s="219"/>
      <c r="H30" s="219"/>
      <c r="I30" s="219"/>
      <c r="J30" s="219"/>
      <c r="K30" s="219"/>
      <c r="L30" s="219"/>
      <c r="M30" s="219"/>
      <c r="N30" s="219"/>
      <c r="O30" s="219"/>
      <c r="U30" s="219"/>
    </row>
    <row r="31" s="150" customFormat="true" ht="12.75" hidden="false" customHeight="false" outlineLevel="0" collapsed="false">
      <c r="A31" s="189"/>
      <c r="B31" s="189"/>
      <c r="C31" s="189"/>
      <c r="D31" s="189"/>
      <c r="E31" s="189"/>
      <c r="F31" s="189"/>
      <c r="G31" s="189"/>
      <c r="H31" s="189"/>
      <c r="I31" s="189"/>
      <c r="J31" s="189"/>
      <c r="K31" s="189"/>
      <c r="L31" s="189"/>
      <c r="M31" s="189"/>
      <c r="N31" s="189"/>
      <c r="O31" s="189"/>
      <c r="U31" s="189"/>
    </row>
    <row r="32" s="150" customFormat="true" ht="12.75" hidden="false" customHeight="false" outlineLevel="0" collapsed="false">
      <c r="B32" s="160"/>
      <c r="C32" s="207"/>
      <c r="D32" s="160"/>
      <c r="E32" s="223"/>
      <c r="F32" s="223"/>
      <c r="G32" s="223"/>
      <c r="H32" s="223"/>
      <c r="I32" s="223"/>
      <c r="J32" s="223"/>
      <c r="K32" s="223"/>
      <c r="L32" s="223"/>
      <c r="M32" s="223"/>
      <c r="N32" s="223"/>
      <c r="O32" s="223"/>
      <c r="U32" s="223"/>
    </row>
    <row r="33" s="150" customFormat="true" ht="12.75" hidden="false" customHeight="false" outlineLevel="0" collapsed="false">
      <c r="B33" s="224" t="str">
        <f aca="false">PO!$K$42</f>
        <v>PARAGUAÇU PAULISTA</v>
      </c>
      <c r="C33" s="224"/>
      <c r="D33" s="160"/>
      <c r="E33" s="223"/>
      <c r="F33" s="223"/>
      <c r="G33" s="223"/>
      <c r="H33" s="223"/>
      <c r="I33" s="223"/>
      <c r="J33" s="223"/>
      <c r="K33" s="223"/>
      <c r="L33" s="223"/>
      <c r="M33" s="223"/>
      <c r="N33" s="223"/>
      <c r="O33" s="223"/>
      <c r="U33" s="223"/>
    </row>
    <row r="34" s="150" customFormat="true" ht="12.75" hidden="false" customHeight="false" outlineLevel="0" collapsed="false">
      <c r="B34" s="225" t="s">
        <v>171</v>
      </c>
      <c r="C34" s="207"/>
      <c r="D34" s="160"/>
      <c r="E34" s="223"/>
      <c r="F34" s="223"/>
      <c r="G34" s="223"/>
      <c r="H34" s="223"/>
      <c r="I34" s="223"/>
      <c r="J34" s="223"/>
      <c r="K34" s="223"/>
      <c r="L34" s="223"/>
      <c r="M34" s="223"/>
      <c r="N34" s="223"/>
      <c r="O34" s="223"/>
      <c r="U34" s="223"/>
    </row>
    <row r="35" s="150" customFormat="true" ht="12.75" hidden="false" customHeight="false" outlineLevel="0" collapsed="false">
      <c r="B35" s="207"/>
      <c r="C35" s="207"/>
      <c r="D35" s="160"/>
      <c r="E35" s="223"/>
      <c r="F35" s="223"/>
      <c r="G35" s="223"/>
      <c r="H35" s="223"/>
      <c r="I35" s="223"/>
      <c r="J35" s="223"/>
      <c r="K35" s="223"/>
      <c r="L35" s="223"/>
      <c r="M35" s="223"/>
      <c r="N35" s="223"/>
      <c r="O35" s="223"/>
      <c r="U35" s="223"/>
    </row>
    <row r="36" s="150" customFormat="true" ht="12.75" hidden="false" customHeight="false" outlineLevel="0" collapsed="false">
      <c r="B36" s="226" t="n">
        <f aca="false">PO!$K$45</f>
        <v>43740</v>
      </c>
      <c r="C36" s="226"/>
      <c r="D36" s="160"/>
      <c r="E36" s="223"/>
      <c r="F36" s="223"/>
      <c r="G36" s="223"/>
      <c r="H36" s="223"/>
      <c r="I36" s="223"/>
      <c r="J36" s="223"/>
      <c r="K36" s="223"/>
      <c r="L36" s="223"/>
      <c r="M36" s="223"/>
      <c r="N36" s="223"/>
      <c r="O36" s="223"/>
      <c r="U36" s="223"/>
    </row>
    <row r="37" s="150" customFormat="true" ht="12.75" hidden="false" customHeight="false" outlineLevel="0" collapsed="false">
      <c r="B37" s="227" t="s">
        <v>172</v>
      </c>
      <c r="C37" s="228"/>
      <c r="D37" s="160"/>
      <c r="E37" s="223"/>
      <c r="F37" s="223"/>
      <c r="G37" s="223"/>
      <c r="H37" s="223"/>
      <c r="I37" s="223"/>
      <c r="J37" s="223"/>
      <c r="K37" s="223"/>
      <c r="L37" s="223"/>
      <c r="M37" s="223"/>
      <c r="N37" s="223"/>
      <c r="O37" s="223"/>
      <c r="U37" s="223"/>
    </row>
  </sheetData>
  <sheetProtection sheet="true" password="c95b" objects="true" scenarios="true"/>
  <mergeCells count="2">
    <mergeCell ref="B33:C33"/>
    <mergeCell ref="B36:C36"/>
  </mergeCells>
  <conditionalFormatting sqref="D11:E11 D13:E30">
    <cfRule type="expression" priority="2" aboveAverage="0" equalAverage="0" bottom="0" percent="0" rank="0" text="" dxfId="45">
      <formula>$A11="Meta"</formula>
    </cfRule>
    <cfRule type="expression" priority="3" aboveAverage="0" equalAverage="0" bottom="0" percent="0" rank="0" text="" dxfId="46">
      <formula>$A11&lt;&gt;"Serviço"</formula>
    </cfRule>
  </conditionalFormatting>
  <conditionalFormatting sqref="C11 C13:C30">
    <cfRule type="expression" priority="4" aboveAverage="0" equalAverage="0" bottom="0" percent="0" rank="0" text="" dxfId="47">
      <formula>$A11="Meta"</formula>
    </cfRule>
    <cfRule type="expression" priority="5" aboveAverage="0" equalAverage="0" bottom="0" percent="0" rank="0" text="" dxfId="48">
      <formula>$A11&lt;&gt;"Serviço"</formula>
    </cfRule>
  </conditionalFormatting>
  <conditionalFormatting sqref="A11:B11 A13:B30">
    <cfRule type="expression" priority="6" aboveAverage="0" equalAverage="0" bottom="0" percent="0" rank="0" text="" dxfId="49">
      <formula>$A11="Meta"</formula>
    </cfRule>
    <cfRule type="expression" priority="7" aboveAverage="0" equalAverage="0" bottom="0" percent="0" rank="0" text="" dxfId="50">
      <formula>LEFT($A11,5)="Nível"</formula>
    </cfRule>
    <cfRule type="expression" priority="8" aboveAverage="0" equalAverage="0" bottom="0" percent="0" rank="0" text="" dxfId="51">
      <formula>$A11=0</formula>
    </cfRule>
  </conditionalFormatting>
  <conditionalFormatting sqref="U11 U13:U30 F13:O30">
    <cfRule type="expression" priority="9" aboveAverage="0" equalAverage="0" bottom="0" percent="0" rank="0" text="" dxfId="52">
      <formula>$A11="Meta"</formula>
    </cfRule>
    <cfRule type="expression" priority="10" aboveAverage="0" equalAverage="0" bottom="0" percent="0" rank="0" text="" dxfId="53">
      <formula>OR(F$9=0,$A11&lt;&gt;"Serviço")</formula>
    </cfRule>
    <cfRule type="expression" priority="11" aboveAverage="0" equalAverage="0" bottom="0" percent="0" rank="0" text="" dxfId="54">
      <formula>TipoOrçamento="Licitado"</formula>
    </cfRule>
  </conditionalFormatting>
  <conditionalFormatting sqref="U9">
    <cfRule type="expression" priority="12" aboveAverage="0" equalAverage="0" bottom="0" percent="0" rank="0" text="" dxfId="55">
      <formula>AND(T9=0,U9=0)</formula>
    </cfRule>
    <cfRule type="expression" priority="13" aboveAverage="0" equalAverage="0" bottom="0" percent="0" rank="0" text="" dxfId="56">
      <formula>TipoOrçamento="Licitado"</formula>
    </cfRule>
  </conditionalFormatting>
  <conditionalFormatting sqref="F11:O11">
    <cfRule type="expression" priority="14" aboveAverage="0" equalAverage="0" bottom="0" percent="0" rank="0" text="" dxfId="57">
      <formula>$A11="Meta"</formula>
    </cfRule>
    <cfRule type="expression" priority="15" aboveAverage="0" equalAverage="0" bottom="0" percent="0" rank="0" text="" dxfId="58">
      <formula>OR(F$9=0,$A11&lt;&gt;"Serviço")</formula>
    </cfRule>
    <cfRule type="expression" priority="16" aboveAverage="0" equalAverage="0" bottom="0" percent="0" rank="0" text="" dxfId="59">
      <formula>TipoOrçamento="Licitado"</formula>
    </cfRule>
  </conditionalFormatting>
  <conditionalFormatting sqref="F9:O9">
    <cfRule type="expression" priority="17" aboveAverage="0" equalAverage="0" bottom="0" percent="0" rank="0" text="" dxfId="60">
      <formula>AND(E9=0,F9=0)</formula>
    </cfRule>
    <cfRule type="expression" priority="18" aboveAverage="0" equalAverage="0" bottom="0" percent="0" rank="0" text="" dxfId="61">
      <formula>TipoOrçamento="Licitado"</formula>
    </cfRule>
  </conditionalFormatting>
  <dataValidations count="1">
    <dataValidation allowBlank="true" error="Digite apenas números.&#10;&#10;preferencialmente com 02 casas de precisão." operator="greaterThanOrEqual" showDropDown="false" showErrorMessage="true" showInputMessage="true" sqref="F11:O11 U11 F14:O30 U14:U30" type="decimal">
      <formula1>0</formula1>
      <formula2>0</formula2>
    </dataValidation>
  </dataValidations>
  <printOptions headings="false" gridLines="false" gridLinesSet="true" horizontalCentered="true" verticalCentered="false"/>
  <pageMargins left="0.7875" right="0.7875" top="0.786805555555556" bottom="0.786805555555556" header="0.590277777777778" footer="0.590277777777778"/>
  <pageSetup paperSize="9" scale="62" firstPageNumber="0" fitToWidth="1" fitToHeight="1" pageOrder="downThenOver" orientation="landscape" blackAndWhite="false" draft="false" cellComments="none" useFirstPageNumber="false" horizontalDpi="300" verticalDpi="300" copies="1"/>
  <headerFooter differentFirst="false" differentOddEven="false">
    <oddHeader>&amp;C&amp;14I</oddHeader>
    <oddFooter>&amp;L27.476 v007   micro&amp;R&amp;P</oddFooter>
  </headerFooter>
  <drawing r:id="rId1"/>
</worksheet>
</file>

<file path=xl/worksheets/sheet5.xml><?xml version="1.0" encoding="utf-8"?>
<worksheet xmlns="http://schemas.openxmlformats.org/spreadsheetml/2006/main" xmlns:r="http://schemas.openxmlformats.org/officeDocument/2006/relationships">
  <sheetPr filterMode="false">
    <pageSetUpPr fitToPage="false"/>
  </sheetPr>
  <dimension ref="A1:AC27"/>
  <sheetViews>
    <sheetView showFormulas="false" showGridLines="false" showRowColHeaders="true" showZeros="true" rightToLeft="false" tabSelected="false" showOutlineSymbols="true" defaultGridColor="true" view="normal" topLeftCell="L1" colorId="64" zoomScale="100" zoomScaleNormal="100" zoomScalePageLayoutView="100" workbookViewId="0">
      <selection pane="topLeft" activeCell="L1" activeCellId="0" sqref="L1"/>
    </sheetView>
  </sheetViews>
  <sheetFormatPr defaultRowHeight="12.75" zeroHeight="false" outlineLevelRow="0" outlineLevelCol="0"/>
  <cols>
    <col collapsed="false" customWidth="true" hidden="true" outlineLevel="0" max="4" min="1" style="229" width="9.14"/>
    <col collapsed="false" customWidth="true" hidden="true" outlineLevel="0" max="8" min="5" style="229" width="5.7"/>
    <col collapsed="false" customWidth="true" hidden="true" outlineLevel="0" max="10" min="9" style="229" width="6.71"/>
    <col collapsed="false" customWidth="true" hidden="true" outlineLevel="0" max="11" min="11" style="229" width="10.71"/>
    <col collapsed="false" customWidth="true" hidden="false" outlineLevel="0" max="12" min="12" style="229" width="10.71"/>
    <col collapsed="false" customWidth="true" hidden="false" outlineLevel="0" max="13" min="13" style="229" width="40.57"/>
    <col collapsed="false" customWidth="true" hidden="false" outlineLevel="0" max="14" min="14" style="230" width="16.42"/>
    <col collapsed="false" customWidth="true" hidden="false" outlineLevel="0" max="15" min="15" style="229" width="16.57"/>
    <col collapsed="false" customWidth="true" hidden="false" outlineLevel="0" max="23" min="16" style="229" width="15.71"/>
    <col collapsed="false" customWidth="true" hidden="false" outlineLevel="0" max="24" min="24" style="231" width="0.86"/>
    <col collapsed="false" customWidth="true" hidden="false" outlineLevel="0" max="28" min="25" style="229" width="9.14"/>
    <col collapsed="false" customWidth="true" hidden="true" outlineLevel="0" max="29" min="29" style="229" width="15.71"/>
    <col collapsed="false" customWidth="true" hidden="false" outlineLevel="0" max="1025" min="30" style="229" width="9.14"/>
  </cols>
  <sheetData>
    <row r="1" s="236" customFormat="true" ht="12.95" hidden="false" customHeight="true" outlineLevel="0" collapsed="false">
      <c r="A1" s="8"/>
      <c r="B1" s="8"/>
      <c r="C1" s="8"/>
      <c r="D1" s="8"/>
      <c r="E1" s="232"/>
      <c r="F1" s="232"/>
      <c r="G1" s="232"/>
      <c r="H1" s="232"/>
      <c r="I1" s="232"/>
      <c r="J1" s="232"/>
      <c r="K1" s="232"/>
      <c r="L1" s="8"/>
      <c r="M1" s="8"/>
      <c r="N1" s="8"/>
      <c r="O1" s="233" t="s">
        <v>228</v>
      </c>
      <c r="P1" s="234" t="s">
        <v>229</v>
      </c>
      <c r="Q1" s="235"/>
      <c r="R1" s="8"/>
      <c r="S1" s="8"/>
      <c r="T1" s="8"/>
      <c r="U1" s="2"/>
      <c r="V1" s="2"/>
      <c r="W1" s="2"/>
      <c r="X1" s="2"/>
      <c r="AC1" s="2"/>
    </row>
    <row r="2" s="236" customFormat="true" ht="12.75" hidden="false" customHeight="true" outlineLevel="0" collapsed="false">
      <c r="A2" s="2"/>
      <c r="B2" s="2"/>
      <c r="C2" s="2"/>
      <c r="D2" s="2"/>
      <c r="E2" s="2"/>
      <c r="F2" s="2"/>
      <c r="G2" s="2"/>
      <c r="H2" s="2"/>
      <c r="I2" s="2"/>
      <c r="J2" s="2"/>
      <c r="K2" s="2"/>
      <c r="L2" s="2"/>
      <c r="M2" s="2"/>
      <c r="N2" s="2"/>
      <c r="O2" s="233"/>
      <c r="P2" s="237" t="str">
        <f aca="false">CHOOSE(1+LOG(1+2*(TipoOrçamento="BASE")+4*(TipoOrçamento="LICITADO")+8*(TipoOrçamento="REPROGRAMADOAC")+16*(TipoOrçamento="REPROGRAMADONPL"),2),"nada","Cronograma Base para Licitação","Cronograma Licitado","Cronograma Licitado Reprogramado","Cronograma Base para Licitação - Reprogramado")</f>
        <v>Cronograma Base para Licitação</v>
      </c>
      <c r="Q2" s="2"/>
      <c r="R2" s="2"/>
      <c r="S2" s="2"/>
      <c r="T2" s="2"/>
      <c r="U2" s="2"/>
      <c r="V2" s="234"/>
      <c r="W2" s="2"/>
      <c r="X2" s="2"/>
      <c r="AC2" s="2"/>
    </row>
    <row r="3" s="236" customFormat="true" ht="12.75" hidden="false" customHeight="true" outlineLevel="0" collapsed="false">
      <c r="A3" s="2"/>
      <c r="B3" s="2"/>
      <c r="C3" s="2"/>
      <c r="D3" s="2"/>
      <c r="E3" s="2"/>
      <c r="F3" s="2"/>
      <c r="G3" s="2"/>
      <c r="H3" s="2"/>
      <c r="I3" s="2"/>
      <c r="J3" s="2"/>
      <c r="K3" s="2"/>
      <c r="L3" s="2"/>
      <c r="M3" s="2"/>
      <c r="N3" s="2"/>
      <c r="O3" s="2"/>
      <c r="P3" s="2"/>
      <c r="Q3" s="2"/>
      <c r="R3" s="2"/>
      <c r="S3" s="62"/>
      <c r="T3" s="2"/>
      <c r="U3" s="2"/>
      <c r="V3" s="2"/>
      <c r="W3" s="2"/>
      <c r="X3" s="2"/>
      <c r="AC3" s="2"/>
    </row>
    <row r="4" s="236" customFormat="true" ht="24.95" hidden="false" customHeight="true" outlineLevel="0" collapsed="false">
      <c r="A4" s="2"/>
      <c r="B4" s="2"/>
      <c r="C4" s="2"/>
      <c r="D4" s="2"/>
      <c r="E4" s="2"/>
      <c r="F4" s="2"/>
      <c r="G4" s="2"/>
      <c r="H4" s="2"/>
      <c r="I4" s="2"/>
      <c r="J4" s="2"/>
      <c r="K4" s="2"/>
      <c r="L4" s="2"/>
      <c r="M4" s="2"/>
      <c r="N4" s="2"/>
      <c r="O4" s="2"/>
      <c r="P4" s="2"/>
      <c r="Q4" s="2"/>
      <c r="R4" s="2"/>
      <c r="S4" s="2"/>
      <c r="T4" s="2"/>
      <c r="U4" s="2"/>
      <c r="V4" s="2"/>
      <c r="W4" s="2"/>
      <c r="X4" s="2"/>
      <c r="AC4" s="2"/>
    </row>
    <row r="5" s="236" customFormat="true" ht="24.95" hidden="false" customHeight="true" outlineLevel="0" collapsed="false">
      <c r="A5" s="2"/>
      <c r="B5" s="2"/>
      <c r="C5" s="2"/>
      <c r="D5" s="2"/>
      <c r="E5" s="2"/>
      <c r="F5" s="2"/>
      <c r="G5" s="2"/>
      <c r="H5" s="2"/>
      <c r="I5" s="2"/>
      <c r="J5" s="2"/>
      <c r="K5" s="2"/>
      <c r="L5" s="2"/>
      <c r="M5" s="2"/>
      <c r="N5" s="2"/>
      <c r="O5" s="2"/>
      <c r="P5" s="2"/>
      <c r="Q5" s="2"/>
      <c r="R5" s="2"/>
      <c r="S5" s="2"/>
      <c r="T5" s="2"/>
      <c r="U5" s="2"/>
      <c r="V5" s="2"/>
      <c r="W5" s="2"/>
      <c r="X5" s="2"/>
      <c r="AC5" s="2"/>
    </row>
    <row r="6" s="236" customFormat="true" ht="24.95" hidden="false" customHeight="true" outlineLevel="0" collapsed="false">
      <c r="A6" s="2"/>
      <c r="B6" s="2"/>
      <c r="C6" s="2"/>
      <c r="D6" s="2"/>
      <c r="E6" s="2"/>
      <c r="F6" s="2"/>
      <c r="G6" s="2"/>
      <c r="H6" s="2"/>
      <c r="I6" s="2"/>
      <c r="J6" s="2"/>
      <c r="K6" s="2"/>
      <c r="L6" s="2"/>
      <c r="M6" s="2"/>
      <c r="N6" s="2"/>
      <c r="O6" s="2"/>
      <c r="P6" s="2"/>
      <c r="Q6" s="2"/>
      <c r="R6" s="2"/>
      <c r="S6" s="2"/>
      <c r="T6" s="2"/>
      <c r="U6" s="2"/>
      <c r="V6" s="2"/>
      <c r="W6" s="2"/>
      <c r="X6" s="2"/>
      <c r="AC6" s="2"/>
    </row>
    <row r="7" s="236" customFormat="true" ht="21.75" hidden="false" customHeight="true" outlineLevel="0" collapsed="false">
      <c r="A7" s="2"/>
      <c r="B7" s="2"/>
      <c r="C7" s="2"/>
      <c r="D7" s="2"/>
      <c r="E7" s="2"/>
      <c r="F7" s="2"/>
      <c r="G7" s="2"/>
      <c r="H7" s="2"/>
      <c r="I7" s="2"/>
      <c r="J7" s="2"/>
      <c r="K7" s="2"/>
      <c r="L7" s="2"/>
      <c r="M7" s="2"/>
      <c r="N7" s="2"/>
      <c r="O7" s="2"/>
      <c r="P7" s="2"/>
      <c r="Q7" s="2"/>
      <c r="R7" s="2"/>
      <c r="S7" s="2"/>
      <c r="T7" s="2"/>
      <c r="U7" s="2"/>
      <c r="V7" s="2"/>
      <c r="W7" s="2"/>
      <c r="X7" s="2"/>
      <c r="AC7" s="2"/>
    </row>
    <row r="8" s="236" customFormat="true" ht="30" hidden="false" customHeight="true" outlineLevel="0" collapsed="false">
      <c r="A8" s="238" t="s">
        <v>230</v>
      </c>
      <c r="B8" s="2"/>
      <c r="C8" s="2"/>
      <c r="D8" s="2"/>
      <c r="E8" s="2"/>
      <c r="F8" s="2"/>
      <c r="G8" s="2"/>
      <c r="H8" s="2"/>
      <c r="I8" s="2"/>
      <c r="J8" s="2"/>
      <c r="K8" s="2"/>
      <c r="L8" s="239" t="str">
        <f aca="true">IF(MAX($A$14:$A$22)&lt;&gt;MAX(PO!$V$12:$V$31),"ERRO: CRONOGRAMA DESATUALIZADO",IF(OR(COUNTIF($O$16:$X$16,"&gt;1")&gt;0,OFFSET($X$17,0,-1)&lt;&gt;$N$14),"ERRO: CRONOGRAMA NÃO FECHA EM 100%",""))</f>
        <v>ERRO: CRONOGRAMA NÃO FECHA EM 100%</v>
      </c>
      <c r="M8" s="239"/>
      <c r="N8" s="240" t="str">
        <f aca="false">IF(TipoOrçamento="REPROGRAMADOAC","Qtde de Medições realizadas","")</f>
        <v/>
      </c>
      <c r="O8" s="241"/>
      <c r="P8" s="242"/>
      <c r="Q8" s="2"/>
      <c r="R8" s="2"/>
      <c r="S8" s="2"/>
      <c r="T8" s="2"/>
      <c r="U8" s="2"/>
      <c r="V8" s="2"/>
      <c r="W8" s="2"/>
      <c r="X8" s="2"/>
      <c r="AC8" s="2"/>
    </row>
    <row r="9" s="236" customFormat="true" ht="14.1" hidden="false" customHeight="true" outlineLevel="0" collapsed="false">
      <c r="A9" s="243" t="n">
        <v>2</v>
      </c>
      <c r="B9" s="2"/>
      <c r="C9" s="2"/>
      <c r="D9" s="2"/>
      <c r="E9" s="2"/>
      <c r="F9" s="2"/>
      <c r="G9" s="2"/>
      <c r="H9" s="2"/>
      <c r="I9" s="2"/>
      <c r="J9" s="2"/>
      <c r="K9" s="2"/>
      <c r="L9" s="62"/>
      <c r="M9" s="62"/>
      <c r="N9" s="244" t="n">
        <v>1</v>
      </c>
      <c r="O9" s="245" t="n">
        <f aca="false">IF(AND(TipoOrçamento="REPROGRAMADOAC",$N$9&gt;0),$N$9-1,0)</f>
        <v>0</v>
      </c>
      <c r="P9" s="246" t="n">
        <f aca="true">OFFSET(P9,0,-1)+1</f>
        <v>1</v>
      </c>
      <c r="Q9" s="246" t="n">
        <f aca="true">OFFSET(Q9,0,-1)+1</f>
        <v>2</v>
      </c>
      <c r="R9" s="246" t="n">
        <f aca="true">OFFSET(R9,0,-1)+1</f>
        <v>3</v>
      </c>
      <c r="S9" s="246" t="n">
        <f aca="true">OFFSET(S9,0,-1)+1</f>
        <v>4</v>
      </c>
      <c r="T9" s="246" t="n">
        <f aca="true">OFFSET(T9,0,-1)+1</f>
        <v>5</v>
      </c>
      <c r="U9" s="246" t="n">
        <f aca="true">OFFSET(U9,0,-1)+1</f>
        <v>6</v>
      </c>
      <c r="V9" s="246" t="n">
        <f aca="true">OFFSET(V9,0,-1)+1</f>
        <v>7</v>
      </c>
      <c r="W9" s="246" t="n">
        <f aca="true">OFFSET(W9,0,-1)+1</f>
        <v>8</v>
      </c>
      <c r="X9" s="2"/>
      <c r="AC9" s="246" t="n">
        <f aca="true">OFFSET(AC9,0,-1)+1</f>
        <v>1</v>
      </c>
    </row>
    <row r="10" s="255" customFormat="true" ht="30" hidden="false" customHeight="true" outlineLevel="0" collapsed="false">
      <c r="A10" s="247" t="s">
        <v>219</v>
      </c>
      <c r="B10" s="247" t="s">
        <v>231</v>
      </c>
      <c r="C10" s="247" t="s">
        <v>201</v>
      </c>
      <c r="D10" s="247" t="s">
        <v>202</v>
      </c>
      <c r="E10" s="247" t="s">
        <v>232</v>
      </c>
      <c r="F10" s="247" t="s">
        <v>233</v>
      </c>
      <c r="G10" s="247" t="s">
        <v>234</v>
      </c>
      <c r="H10" s="247" t="s">
        <v>235</v>
      </c>
      <c r="I10" s="247" t="s">
        <v>208</v>
      </c>
      <c r="J10" s="247" t="s">
        <v>209</v>
      </c>
      <c r="K10" s="247" t="s">
        <v>236</v>
      </c>
      <c r="L10" s="248" t="s">
        <v>210</v>
      </c>
      <c r="M10" s="249" t="s">
        <v>237</v>
      </c>
      <c r="N10" s="250" t="s">
        <v>238</v>
      </c>
      <c r="O10" s="251" t="str">
        <f aca="false">IF(TipoOrçamento="REPROGRAMADOAC","Reinício de Obra","Início de Obra")&amp;CHAR(10)&amp;TEXT(DADOS!A48,"dd/mm/aa")</f>
        <v>Início de Obra
00/01/00</v>
      </c>
      <c r="P10" s="252" t="str">
        <f aca="false">IF(AND(TipoOrçamento="REPROGRAMADOAC",$N$9&gt;0,N10="Valores Totais (R$)"),"Parcela "&amp;$N$9&amp;" Executado","Parcela "&amp;P$9&amp;CHAR(10)&amp;TEXT(DATE(YEAR(DADOS!$A$48),MONTH(DADOS!$A$48)+P$9-IF(AND(TipoOrçamento="REPROGRAMADOAC",$N$9&gt;0),$N$9,0),1),"mmm/aa"))</f>
        <v>Parcela 1
jan/00</v>
      </c>
      <c r="Q10" s="7" t="str">
        <f aca="false">IF(AND(TipoOrçamento="REPROGRAMADOAC",$N$9&gt;0,O10="Valores Totais (R$)"),"Parcela "&amp;$N$9&amp;" Executado","Parcela "&amp;Q$9&amp;CHAR(10)&amp;TEXT(DATE(YEAR(DADOS!$A$48),MONTH(DADOS!$A$48)+Q$9-IF(AND(TipoOrçamento="REPROGRAMADOAC",$N$9&gt;0),$N$9,0),1),"mmm/aa"))</f>
        <v>Parcela 2
fev/00</v>
      </c>
      <c r="R10" s="7" t="str">
        <f aca="false">IF(AND(TipoOrçamento="REPROGRAMADOAC",$N$9&gt;0,P10="Valores Totais (R$)"),"Parcela "&amp;$N$9&amp;" Executado","Parcela "&amp;R$9&amp;CHAR(10)&amp;TEXT(DATE(YEAR(DADOS!$A$48),MONTH(DADOS!$A$48)+R$9-IF(AND(TipoOrçamento="REPROGRAMADOAC",$N$9&gt;0),$N$9,0),1),"mmm/aa"))</f>
        <v>Parcela 3
mar/00</v>
      </c>
      <c r="S10" s="7" t="str">
        <f aca="false">IF(AND(TipoOrçamento="REPROGRAMADOAC",$N$9&gt;0,Q10="Valores Totais (R$)"),"Parcela "&amp;$N$9&amp;" Executado","Parcela "&amp;S$9&amp;CHAR(10)&amp;TEXT(DATE(YEAR(DADOS!$A$48),MONTH(DADOS!$A$48)+S$9-IF(AND(TipoOrçamento="REPROGRAMADOAC",$N$9&gt;0),$N$9,0),1),"mmm/aa"))</f>
        <v>Parcela 4
abr/00</v>
      </c>
      <c r="T10" s="7" t="str">
        <f aca="false">IF(AND(TipoOrçamento="REPROGRAMADOAC",$N$9&gt;0,R10="Valores Totais (R$)"),"Parcela "&amp;$N$9&amp;" Executado","Parcela "&amp;T$9&amp;CHAR(10)&amp;TEXT(DATE(YEAR(DADOS!$A$48),MONTH(DADOS!$A$48)+T$9-IF(AND(TipoOrçamento="REPROGRAMADOAC",$N$9&gt;0),$N$9,0),1),"mmm/aa"))</f>
        <v>Parcela 5
mai/00</v>
      </c>
      <c r="U10" s="7" t="str">
        <f aca="false">IF(AND(TipoOrçamento="REPROGRAMADOAC",$N$9&gt;0,S10="Valores Totais (R$)"),"Parcela "&amp;$N$9&amp;" Executado","Parcela "&amp;U$9&amp;CHAR(10)&amp;TEXT(DATE(YEAR(DADOS!$A$48),MONTH(DADOS!$A$48)+U$9-IF(AND(TipoOrçamento="REPROGRAMADOAC",$N$9&gt;0),$N$9,0),1),"mmm/aa"))</f>
        <v>Parcela 6
jun/00</v>
      </c>
      <c r="V10" s="7" t="str">
        <f aca="false">IF(AND(TipoOrçamento="REPROGRAMADOAC",$N$9&gt;0,T10="Valores Totais (R$)"),"Parcela "&amp;$N$9&amp;" Executado","Parcela "&amp;V$9&amp;CHAR(10)&amp;TEXT(DATE(YEAR(DADOS!$A$48),MONTH(DADOS!$A$48)+V$9-IF(AND(TipoOrçamento="REPROGRAMADOAC",$N$9&gt;0),$N$9,0),1),"mmm/aa"))</f>
        <v>Parcela 7
jul/00</v>
      </c>
      <c r="W10" s="253" t="str">
        <f aca="false">IF(AND(TipoOrçamento="REPROGRAMADOAC",$N$9&gt;0,U10="Valores Totais (R$)"),"Parcela "&amp;$N$9&amp;" Executado","Parcela "&amp;W$9&amp;CHAR(10)&amp;TEXT(DATE(YEAR(DADOS!$A$48),MONTH(DADOS!$A$48)+W$9-IF(AND(TipoOrçamento="REPROGRAMADOAC",$N$9&gt;0),$N$9,0),1),"mmm/aa"))</f>
        <v>Parcela 8
ago/00</v>
      </c>
      <c r="X10" s="254"/>
      <c r="AC10" s="7" t="str">
        <f aca="false">IF(AND(TipoOrçamento="REPROGRAMADOAC",$N$9&gt;0,AA10="Valores Totais (R$)"),"Parcela "&amp;$N$9&amp;" Executado","Parcela "&amp;AC$9&amp;CHAR(10)&amp;TEXT(DATE(YEAR(DADOS!$A$48),MONTH(DADOS!$A$48)+AC$9-IF(AND(TipoOrçamento="REPROGRAMADOAC",$N$9&gt;0),$N$9,0),1),"mmm/aa"))</f>
        <v>Parcela 1
jan/00</v>
      </c>
    </row>
    <row r="11" customFormat="false" ht="14.25" hidden="true" customHeight="true" outlineLevel="0" collapsed="false">
      <c r="A11" s="62"/>
      <c r="B11" s="62"/>
      <c r="C11" s="62"/>
      <c r="D11" s="62"/>
      <c r="E11" s="62"/>
      <c r="F11" s="62"/>
      <c r="G11" s="62"/>
      <c r="H11" s="62"/>
      <c r="I11" s="62"/>
      <c r="J11" s="62"/>
      <c r="K11" s="62"/>
      <c r="L11" s="256" t="e">
        <f aca="false">INDEX(PO!K$12:K$31,MATCH($A13,PO!$V$12:$V$31,0))</f>
        <v>#VALUE!</v>
      </c>
      <c r="M11" s="257" t="e">
        <f aca="false">INDEX(PO!N$12:N$31,MATCH($A13,PO!$V$12:$V$31,0))</f>
        <v>#VALUE!</v>
      </c>
      <c r="N11" s="258" t="e">
        <f aca="false">IF(ROUND(K13,2)=0,K13,ROUND(K13,2))</f>
        <v>#VALUE!</v>
      </c>
      <c r="O11" s="259" t="s">
        <v>239</v>
      </c>
      <c r="P11" s="260" t="e">
        <f aca="false">IF($B13,0,P12-IF(ISNUMBER(O12),O12,0))</f>
        <v>#VALUE!</v>
      </c>
      <c r="Q11" s="261" t="e">
        <f aca="false">IF($B13,0,Q12-IF(ISNUMBER(P12),P12,0))</f>
        <v>#VALUE!</v>
      </c>
      <c r="R11" s="261" t="e">
        <f aca="false">IF($B13,0,R12-IF(ISNUMBER(Q12),Q12,0))</f>
        <v>#VALUE!</v>
      </c>
      <c r="S11" s="261" t="e">
        <f aca="false">IF($B13,0,S12-IF(ISNUMBER(R12),R12,0))</f>
        <v>#VALUE!</v>
      </c>
      <c r="T11" s="261" t="e">
        <f aca="false">IF($B13,0,T12-IF(ISNUMBER(S12),S12,0))</f>
        <v>#VALUE!</v>
      </c>
      <c r="U11" s="261" t="e">
        <f aca="false">IF($B13,0,U12-IF(ISNUMBER(T12),T12,0))</f>
        <v>#VALUE!</v>
      </c>
      <c r="V11" s="261" t="e">
        <f aca="false">IF($B13,0,V12-IF(ISNUMBER(U12),U12,0))</f>
        <v>#VALUE!</v>
      </c>
      <c r="W11" s="262" t="e">
        <f aca="false">IF($B13,0,W12-IF(ISNUMBER(V12),V12,0))</f>
        <v>#VALUE!</v>
      </c>
      <c r="X11" s="263"/>
      <c r="AC11" s="264" t="e">
        <f aca="false">IF($B13,0,AC12-IF(ISNUMBER(AB12),AB12,0))</f>
        <v>#VALUE!</v>
      </c>
    </row>
    <row r="12" customFormat="false" ht="14.25" hidden="true" customHeight="false" outlineLevel="0" collapsed="false">
      <c r="A12" s="265"/>
      <c r="B12" s="265"/>
      <c r="C12" s="265"/>
      <c r="D12" s="265"/>
      <c r="E12" s="265"/>
      <c r="F12" s="265"/>
      <c r="G12" s="265"/>
      <c r="H12" s="265"/>
      <c r="I12" s="265"/>
      <c r="J12" s="265"/>
      <c r="K12" s="265"/>
      <c r="L12" s="256"/>
      <c r="M12" s="257"/>
      <c r="N12" s="258"/>
      <c r="O12" s="266" t="s">
        <v>240</v>
      </c>
      <c r="P12" s="267" t="e">
        <f aca="false">MIN(IF($B13,P11+IF(ISNUMBER(O12),O12,0),P13/$N11),1)</f>
        <v>#VALUE!</v>
      </c>
      <c r="Q12" s="268" t="e">
        <f aca="false">MIN(IF($B13,Q11+IF(ISNUMBER(P12),P12,0),Q13/$N11),1)</f>
        <v>#VALUE!</v>
      </c>
      <c r="R12" s="268" t="e">
        <f aca="false">MIN(IF($B13,R11+IF(ISNUMBER(Q12),Q12,0),R13/$N11),1)</f>
        <v>#VALUE!</v>
      </c>
      <c r="S12" s="268" t="e">
        <f aca="false">MIN(IF($B13,S11+IF(ISNUMBER(R12),R12,0),S13/$N11),1)</f>
        <v>#VALUE!</v>
      </c>
      <c r="T12" s="268" t="e">
        <f aca="false">MIN(IF($B13,T11+IF(ISNUMBER(S12),S12,0),T13/$N11),1)</f>
        <v>#VALUE!</v>
      </c>
      <c r="U12" s="268" t="e">
        <f aca="false">MIN(IF($B13,U11+IF(ISNUMBER(T12),T12,0),U13/$N11),1)</f>
        <v>#VALUE!</v>
      </c>
      <c r="V12" s="268" t="e">
        <f aca="false">MIN(IF($B13,V11+IF(ISNUMBER(U12),U12,0),V13/$N11),1)</f>
        <v>#VALUE!</v>
      </c>
      <c r="W12" s="268" t="e">
        <f aca="false">MIN(IF($B13,W11+IF(ISNUMBER(V12),V12,0),W13/$N11),1)</f>
        <v>#VALUE!</v>
      </c>
      <c r="X12" s="263"/>
      <c r="AC12" s="268" t="e">
        <f aca="false">MIN(IF($B13,AC11+IF(ISNUMBER(AB12),AB12,0),AC13/$N11),1)</f>
        <v>#VALUE!</v>
      </c>
    </row>
    <row r="13" customFormat="false" ht="14.25" hidden="true" customHeight="false" outlineLevel="0" collapsed="false">
      <c r="A13" s="265" t="e">
        <f aca="true">OFFSET(A13,-CFF.NumLinha,0)+1</f>
        <v>#VALUE!</v>
      </c>
      <c r="B13" s="265" t="e">
        <f aca="true">$C13&gt;=OFFSET($C13,CFF.NumLinha,0)</f>
        <v>#VALUE!</v>
      </c>
      <c r="C13" s="265" t="e">
        <f aca="false">INDEX(PO!A$12:A$31,MATCH($A13,PO!$V$12:$V$31,0))</f>
        <v>#VALUE!</v>
      </c>
      <c r="D13" s="265" t="e">
        <f aca="false">IF(ISERROR(J13),I13,SMALL(I13:J13,1))-1</f>
        <v>#VALUE!</v>
      </c>
      <c r="E13" s="265" t="e">
        <f aca="true">IF($C13=1,OFFSET(E13,-CFF.NumLinha,0)+1,OFFSET(E13,-CFF.NumLinha,0))</f>
        <v>#VALUE!</v>
      </c>
      <c r="F13" s="265" t="e">
        <f aca="true">IF($C13=1,0,IF($C13=2,OFFSET(F13,-CFF.NumLinha,0)+1,OFFSET(F13,-CFF.NumLinha,0)))</f>
        <v>#VALUE!</v>
      </c>
      <c r="G13" s="265" t="e">
        <f aca="true">IF(AND($C13&lt;=2,$C13&lt;&gt;0),0,IF($C13=3,OFFSET(G13,-CFF.NumLinha,0)+1,OFFSET(G13,-CFF.NumLinha,0)))</f>
        <v>#VALUE!</v>
      </c>
      <c r="H13" s="265" t="e">
        <f aca="true">IF(AND($C13&lt;=3,$C13&lt;&gt;0),0,IF($C13=4,OFFSET(H13,-CFF.NumLinha,0)+1,OFFSET(H13,-CFF.NumLinha,0)))</f>
        <v>#VALUE!</v>
      </c>
      <c r="I13" s="265" t="e">
        <f aca="true">MATCH(0,OFFSET($D13,1,$C13,ROW($A$21)-ROW($A13)),0)</f>
        <v>#VALUE!</v>
      </c>
      <c r="J13" s="265" t="e">
        <f aca="true">MATCH(OFFSET($D13,0,$C13)+1,OFFSET($D13,1,$C13,ROW($A$21)-ROW($A13)),0)</f>
        <v>#VALUE!</v>
      </c>
      <c r="K13" s="269" t="e">
        <f aca="false">ROUND(INDEX(PO!T$12:T$31,MATCH($A13,PO!$V$12:$V$31,0)),2)+10^-12</f>
        <v>#VALUE!</v>
      </c>
      <c r="L13" s="256"/>
      <c r="M13" s="257"/>
      <c r="N13" s="258"/>
      <c r="O13" s="270" t="s">
        <v>241</v>
      </c>
      <c r="P13" s="271" t="e">
        <f aca="true">IF($B13,ROUND(P12*$N11,2),ROUND(SUMIF(OFFSET($B13,1,0,$D13),1,OFFSET(P13,1,0,$D13))/SUMIF(OFFSET($B13,1,0,$D13),1,OFFSET($K13,1,0,$D13))*$N11,2))</f>
        <v>#VALUE!</v>
      </c>
      <c r="Q13" s="272" t="e">
        <f aca="true">IF($B13,ROUND(Q12*$N11,2),ROUND(SUMIF(OFFSET($B13,1,0,$D13),1,OFFSET(Q13,1,0,$D13))/SUMIF(OFFSET($B13,1,0,$D13),1,OFFSET($K13,1,0,$D13))*$N11,2))</f>
        <v>#VALUE!</v>
      </c>
      <c r="R13" s="272" t="e">
        <f aca="true">IF($B13,ROUND(R12*$N11,2),ROUND(SUMIF(OFFSET($B13,1,0,$D13),1,OFFSET(R13,1,0,$D13))/SUMIF(OFFSET($B13,1,0,$D13),1,OFFSET($K13,1,0,$D13))*$N11,2))</f>
        <v>#VALUE!</v>
      </c>
      <c r="S13" s="272" t="e">
        <f aca="true">IF($B13,ROUND(S12*$N11,2),ROUND(SUMIF(OFFSET($B13,1,0,$D13),1,OFFSET(S13,1,0,$D13))/SUMIF(OFFSET($B13,1,0,$D13),1,OFFSET($K13,1,0,$D13))*$N11,2))</f>
        <v>#VALUE!</v>
      </c>
      <c r="T13" s="272" t="e">
        <f aca="true">IF($B13,ROUND(T12*$N11,2),ROUND(SUMIF(OFFSET($B13,1,0,$D13),1,OFFSET(T13,1,0,$D13))/SUMIF(OFFSET($B13,1,0,$D13),1,OFFSET($K13,1,0,$D13))*$N11,2))</f>
        <v>#VALUE!</v>
      </c>
      <c r="U13" s="272" t="e">
        <f aca="true">IF($B13,ROUND(U12*$N11,2),ROUND(SUMIF(OFFSET($B13,1,0,$D13),1,OFFSET(U13,1,0,$D13))/SUMIF(OFFSET($B13,1,0,$D13),1,OFFSET($K13,1,0,$D13))*$N11,2))</f>
        <v>#VALUE!</v>
      </c>
      <c r="V13" s="272" t="e">
        <f aca="true">IF($B13,ROUND(V12*$N11,2),ROUND(SUMIF(OFFSET($B13,1,0,$D13),1,OFFSET(V13,1,0,$D13))/SUMIF(OFFSET($B13,1,0,$D13),1,OFFSET($K13,1,0,$D13))*$N11,2))</f>
        <v>#VALUE!</v>
      </c>
      <c r="W13" s="273" t="e">
        <f aca="true">IF($B13,ROUND(W12*$N11,2),ROUND(SUMIF(OFFSET($B13,1,0,$D13),1,OFFSET(W13,1,0,$D13))/SUMIF(OFFSET($B13,1,0,$D13),1,OFFSET($K13,1,0,$D13))*$N11,2))</f>
        <v>#VALUE!</v>
      </c>
      <c r="X13" s="263"/>
      <c r="AC13" s="272" t="e">
        <f aca="true">IF($B13,ROUND(AC12*$N11,2),ROUND(SUMIF(OFFSET($B13,1,0,$D13),1,OFFSET(AC13,1,0,$D13))/SUMIF(OFFSET($B13,1,0,$D13),1,OFFSET($K13,1,0,$D13))*$N11,2))</f>
        <v>#VALUE!</v>
      </c>
    </row>
    <row r="14" s="280" customFormat="true" ht="12.75" hidden="false" customHeight="true" outlineLevel="0" collapsed="false">
      <c r="A14" s="2"/>
      <c r="B14" s="2"/>
      <c r="C14" s="2"/>
      <c r="D14" s="2"/>
      <c r="E14" s="2"/>
      <c r="F14" s="2"/>
      <c r="G14" s="2"/>
      <c r="H14" s="2"/>
      <c r="I14" s="2"/>
      <c r="J14" s="2"/>
      <c r="K14" s="2"/>
      <c r="L14" s="274" t="s">
        <v>242</v>
      </c>
      <c r="M14" s="274"/>
      <c r="N14" s="275" t="n">
        <f aca="false">IF(PO!$T$12=0,10^-12,PO!$T$12)</f>
        <v>1E-012</v>
      </c>
      <c r="O14" s="276" t="s">
        <v>239</v>
      </c>
      <c r="P14" s="277" t="n">
        <f aca="false">ROUND(P15/$N14,4)</f>
        <v>0</v>
      </c>
      <c r="Q14" s="278" t="n">
        <f aca="false">ROUND(Q15/$N14,4)</f>
        <v>0</v>
      </c>
      <c r="R14" s="278" t="n">
        <f aca="false">ROUND(R15/$N14,4)</f>
        <v>0</v>
      </c>
      <c r="S14" s="278" t="n">
        <f aca="false">ROUND(S15/$N14,4)</f>
        <v>0</v>
      </c>
      <c r="T14" s="278" t="n">
        <f aca="false">ROUND(T15/$N14,4)</f>
        <v>0</v>
      </c>
      <c r="U14" s="278" t="n">
        <f aca="false">ROUND(U15/$N14,4)</f>
        <v>0</v>
      </c>
      <c r="V14" s="278" t="n">
        <f aca="false">ROUND(V15/$N14,4)</f>
        <v>0</v>
      </c>
      <c r="W14" s="278" t="n">
        <f aca="false">ROUND(W15/$N14,4)</f>
        <v>0</v>
      </c>
      <c r="X14" s="279"/>
      <c r="AC14" s="278" t="n">
        <f aca="false">ROUND(AC15/$N14,4)</f>
        <v>0</v>
      </c>
    </row>
    <row r="15" s="280" customFormat="true" ht="12.75" hidden="false" customHeight="true" outlineLevel="0" collapsed="false">
      <c r="A15" s="2"/>
      <c r="B15" s="2"/>
      <c r="C15" s="2"/>
      <c r="D15" s="2"/>
      <c r="E15" s="2"/>
      <c r="F15" s="2"/>
      <c r="G15" s="2"/>
      <c r="H15" s="2"/>
      <c r="I15" s="2"/>
      <c r="J15" s="2"/>
      <c r="K15" s="2"/>
      <c r="L15" s="274"/>
      <c r="M15" s="274"/>
      <c r="N15" s="275"/>
      <c r="O15" s="281" t="s">
        <v>243</v>
      </c>
      <c r="P15" s="282" t="n">
        <f aca="false">P17-IF(ISNUMBER(O17),O17,0)</f>
        <v>0</v>
      </c>
      <c r="Q15" s="283" t="n">
        <f aca="false">Q17-IF(ISNUMBER(P17),P17,0)</f>
        <v>0</v>
      </c>
      <c r="R15" s="283" t="n">
        <f aca="false">R17-IF(ISNUMBER(Q17),Q17,0)</f>
        <v>0</v>
      </c>
      <c r="S15" s="283" t="n">
        <f aca="false">S17-IF(ISNUMBER(R17),R17,0)</f>
        <v>0</v>
      </c>
      <c r="T15" s="283" t="n">
        <f aca="false">T17-IF(ISNUMBER(S17),S17,0)</f>
        <v>0</v>
      </c>
      <c r="U15" s="283" t="n">
        <f aca="false">U17-IF(ISNUMBER(T17),T17,0)</f>
        <v>0</v>
      </c>
      <c r="V15" s="283" t="n">
        <f aca="false">V17-IF(ISNUMBER(U17),U17,0)</f>
        <v>0</v>
      </c>
      <c r="W15" s="283" t="n">
        <f aca="false">W17-IF(ISNUMBER(V17),V17,0)</f>
        <v>0</v>
      </c>
      <c r="X15" s="279"/>
      <c r="AC15" s="283" t="n">
        <f aca="false">AC17-IF(ISNUMBER(AB17),AB17,0)</f>
        <v>0</v>
      </c>
    </row>
    <row r="16" s="280" customFormat="true" ht="12.75" hidden="false" customHeight="true" outlineLevel="0" collapsed="false">
      <c r="A16" s="2"/>
      <c r="B16" s="2"/>
      <c r="C16" s="2"/>
      <c r="D16" s="2"/>
      <c r="E16" s="2"/>
      <c r="F16" s="2"/>
      <c r="G16" s="2"/>
      <c r="H16" s="2"/>
      <c r="I16" s="2"/>
      <c r="J16" s="2"/>
      <c r="K16" s="2"/>
      <c r="L16" s="274"/>
      <c r="M16" s="274"/>
      <c r="N16" s="275"/>
      <c r="O16" s="284" t="s">
        <v>240</v>
      </c>
      <c r="P16" s="285" t="n">
        <f aca="false">ROUND(P17/$N14,4)</f>
        <v>0</v>
      </c>
      <c r="Q16" s="286" t="n">
        <f aca="false">ROUND(Q17/$N14,4)</f>
        <v>0</v>
      </c>
      <c r="R16" s="286" t="n">
        <f aca="false">ROUND(R17/$N14,4)</f>
        <v>0</v>
      </c>
      <c r="S16" s="286" t="n">
        <f aca="false">ROUND(S17/$N14,4)</f>
        <v>0</v>
      </c>
      <c r="T16" s="286" t="n">
        <f aca="false">ROUND(T17/$N14,4)</f>
        <v>0</v>
      </c>
      <c r="U16" s="286" t="n">
        <f aca="false">ROUND(U17/$N14,4)</f>
        <v>0</v>
      </c>
      <c r="V16" s="286" t="n">
        <f aca="false">ROUND(V17/$N14,4)</f>
        <v>0</v>
      </c>
      <c r="W16" s="286" t="n">
        <f aca="false">ROUND(W17/$N14,4)</f>
        <v>0</v>
      </c>
      <c r="X16" s="279"/>
      <c r="AC16" s="286" t="n">
        <f aca="false">ROUND(AC17/$N14,4)</f>
        <v>0</v>
      </c>
    </row>
    <row r="17" s="280" customFormat="true" ht="12.75" hidden="false" customHeight="true" outlineLevel="0" collapsed="false">
      <c r="A17" s="287" t="n">
        <v>0</v>
      </c>
      <c r="B17" s="2"/>
      <c r="C17" s="2"/>
      <c r="D17" s="287" t="n">
        <f aca="false">ROW(D$21)-ROW(D18)</f>
        <v>3</v>
      </c>
      <c r="E17" s="2"/>
      <c r="F17" s="2"/>
      <c r="G17" s="2"/>
      <c r="H17" s="2"/>
      <c r="I17" s="2"/>
      <c r="J17" s="2"/>
      <c r="K17" s="2"/>
      <c r="L17" s="274"/>
      <c r="M17" s="274"/>
      <c r="N17" s="275"/>
      <c r="O17" s="288" t="s">
        <v>241</v>
      </c>
      <c r="P17" s="289" t="n">
        <f aca="true">SUMIF(OFFSET($C17,1,0):$C$21,1,OFFSET(P17,1,0):P$21)</f>
        <v>0</v>
      </c>
      <c r="Q17" s="290" t="n">
        <f aca="true">SUMIF(OFFSET($C17,1,0):$C$21,1,OFFSET(Q17,1,0):Q$21)</f>
        <v>0</v>
      </c>
      <c r="R17" s="290" t="n">
        <f aca="true">SUMIF(OFFSET($C17,1,0):$C$21,1,OFFSET(R17,1,0):R$21)</f>
        <v>0</v>
      </c>
      <c r="S17" s="290" t="n">
        <f aca="true">SUMIF(OFFSET($C17,1,0):$C$21,1,OFFSET(S17,1,0):S$21)</f>
        <v>0</v>
      </c>
      <c r="T17" s="290" t="n">
        <f aca="true">SUMIF(OFFSET($C17,1,0):$C$21,1,OFFSET(T17,1,0):T$21)</f>
        <v>0</v>
      </c>
      <c r="U17" s="290" t="n">
        <f aca="true">SUMIF(OFFSET($C17,1,0):$C$21,1,OFFSET(U17,1,0):U$21)</f>
        <v>0</v>
      </c>
      <c r="V17" s="290" t="n">
        <f aca="true">SUMIF(OFFSET($C17,1,0):$C$21,1,OFFSET(V17,1,0):V$21)</f>
        <v>0</v>
      </c>
      <c r="W17" s="290" t="n">
        <f aca="true">SUMIF(OFFSET($C17,1,0):$C$21,1,OFFSET(W17,1,0):W$21)</f>
        <v>0</v>
      </c>
      <c r="X17" s="279"/>
      <c r="AC17" s="290" t="n">
        <f aca="true">SUMIF(OFFSET($C17,1,0):$C$21,1,OFFSET(AC17,1,0):AC$21)</f>
        <v>0</v>
      </c>
    </row>
    <row r="18" customFormat="false" ht="14.25" hidden="false" customHeight="true" outlineLevel="0" collapsed="false">
      <c r="A18" s="2"/>
      <c r="B18" s="2"/>
      <c r="C18" s="2"/>
      <c r="D18" s="2"/>
      <c r="E18" s="2"/>
      <c r="F18" s="2"/>
      <c r="G18" s="2"/>
      <c r="H18" s="2"/>
      <c r="I18" s="2"/>
      <c r="J18" s="2"/>
      <c r="K18" s="2"/>
      <c r="L18" s="256" t="str">
        <f aca="false">INDEX(PO!K$12:K$31,MATCH($A20,PO!$V$12:$V$31,0))</f>
        <v>1.</v>
      </c>
      <c r="M18" s="257" t="str">
        <f aca="false">INDEX(PO!N$12:N$31,MATCH($A20,PO!$V$12:$V$31,0))</f>
        <v>(digite a descrição aqui)</v>
      </c>
      <c r="N18" s="258" t="n">
        <f aca="false">IF(ROUND(K20,2)=0,K20,ROUND(K20,2))</f>
        <v>1E-012</v>
      </c>
      <c r="O18" s="291" t="s">
        <v>239</v>
      </c>
      <c r="P18" s="260" t="n">
        <f aca="false">IF($B20,0,P19-IF(ISNUMBER(O19),O19,0))</f>
        <v>0</v>
      </c>
      <c r="Q18" s="261" t="n">
        <f aca="false">IF($B20,0,Q19-IF(ISNUMBER(P19),P19,0))</f>
        <v>0</v>
      </c>
      <c r="R18" s="261" t="n">
        <f aca="false">IF($B20,0,R19-IF(ISNUMBER(Q19),Q19,0))</f>
        <v>0</v>
      </c>
      <c r="S18" s="261" t="n">
        <f aca="false">IF($B20,0,S19-IF(ISNUMBER(R19),R19,0))</f>
        <v>0</v>
      </c>
      <c r="T18" s="261" t="n">
        <f aca="false">IF($B20,0,T19-IF(ISNUMBER(S19),S19,0))</f>
        <v>0</v>
      </c>
      <c r="U18" s="261" t="n">
        <f aca="false">IF($B20,0,U19-IF(ISNUMBER(T19),T19,0))</f>
        <v>0</v>
      </c>
      <c r="V18" s="261" t="n">
        <f aca="false">IF($B20,0,V19-IF(ISNUMBER(U19),U19,0))</f>
        <v>0</v>
      </c>
      <c r="W18" s="262" t="n">
        <f aca="false">IF($B20,0,W19-IF(ISNUMBER(V19),V19,0))</f>
        <v>0</v>
      </c>
      <c r="X18" s="263"/>
      <c r="AC18" s="264" t="n">
        <f aca="false">IF($B20,0,AC19-IF(ISNUMBER(AB19),AB19,0))</f>
        <v>0</v>
      </c>
    </row>
    <row r="19" customFormat="false" ht="14.25" hidden="false" customHeight="false" outlineLevel="0" collapsed="false">
      <c r="A19" s="2"/>
      <c r="B19" s="2"/>
      <c r="C19" s="2"/>
      <c r="D19" s="2"/>
      <c r="E19" s="2"/>
      <c r="F19" s="2"/>
      <c r="G19" s="2"/>
      <c r="H19" s="2"/>
      <c r="I19" s="2"/>
      <c r="J19" s="2"/>
      <c r="K19" s="2"/>
      <c r="L19" s="256"/>
      <c r="M19" s="257"/>
      <c r="N19" s="258"/>
      <c r="O19" s="266" t="s">
        <v>240</v>
      </c>
      <c r="P19" s="267" t="n">
        <f aca="false">MIN(IF($B20,P18+IF(ISNUMBER(O19),O19,0),P20/$N18),1)</f>
        <v>0</v>
      </c>
      <c r="Q19" s="268" t="n">
        <f aca="false">MIN(IF($B20,Q18+IF(ISNUMBER(P19),P19,0),Q20/$N18),1)</f>
        <v>0</v>
      </c>
      <c r="R19" s="268" t="n">
        <f aca="false">MIN(IF($B20,R18+IF(ISNUMBER(Q19),Q19,0),R20/$N18),1)</f>
        <v>0</v>
      </c>
      <c r="S19" s="268" t="n">
        <f aca="false">MIN(IF($B20,S18+IF(ISNUMBER(R19),R19,0),S20/$N18),1)</f>
        <v>0</v>
      </c>
      <c r="T19" s="268" t="n">
        <f aca="false">MIN(IF($B20,T18+IF(ISNUMBER(S19),S19,0),T20/$N18),1)</f>
        <v>0</v>
      </c>
      <c r="U19" s="268" t="n">
        <f aca="false">MIN(IF($B20,U18+IF(ISNUMBER(T19),T19,0),U20/$N18),1)</f>
        <v>0</v>
      </c>
      <c r="V19" s="268" t="n">
        <f aca="false">MIN(IF($B20,V18+IF(ISNUMBER(U19),U19,0),V20/$N18),1)</f>
        <v>0</v>
      </c>
      <c r="W19" s="268" t="n">
        <f aca="false">MIN(IF($B20,W18+IF(ISNUMBER(V19),V19,0),W20/$N18),1)</f>
        <v>0</v>
      </c>
      <c r="X19" s="263"/>
      <c r="AC19" s="268" t="n">
        <f aca="false">MIN(IF($B20,AC18+IF(ISNUMBER(AB19),AB19,0),AC20/$N18),1)</f>
        <v>0</v>
      </c>
    </row>
    <row r="20" customFormat="false" ht="14.25" hidden="false" customHeight="false" outlineLevel="0" collapsed="false">
      <c r="A20" s="287" t="n">
        <f aca="true">OFFSET(A20,-CFF.NumLinha,0)+1</f>
        <v>1</v>
      </c>
      <c r="B20" s="2" t="n">
        <f aca="true">$C20&gt;=OFFSET($C20,CFF.NumLinha,0)</f>
        <v>1</v>
      </c>
      <c r="C20" s="265" t="n">
        <f aca="false">INDEX(PO!A$12:A$31,MATCH($A20,PO!$V$12:$V$31,0))</f>
        <v>1</v>
      </c>
      <c r="D20" s="265" t="n">
        <f aca="false">IF(ISERROR(J20),I20,SMALL(I20:J20,1))-1</f>
        <v>0</v>
      </c>
      <c r="E20" s="265" t="n">
        <f aca="true">IF($C20=1,OFFSET(E20,-CFF.NumLinha,0)+1,OFFSET(E20,-CFF.NumLinha,0))</f>
        <v>1</v>
      </c>
      <c r="F20" s="265" t="n">
        <f aca="true">IF($C20=1,0,IF($C20=2,OFFSET(F20,-CFF.NumLinha,0)+1,OFFSET(F20,-CFF.NumLinha,0)))</f>
        <v>0</v>
      </c>
      <c r="G20" s="265" t="n">
        <f aca="true">IF(AND($C20&lt;=2,$C20&lt;&gt;0),0,IF($C20=3,OFFSET(G20,-CFF.NumLinha,0)+1,OFFSET(G20,-CFF.NumLinha,0)))</f>
        <v>0</v>
      </c>
      <c r="H20" s="265" t="n">
        <f aca="true">IF(AND($C20&lt;=3,$C20&lt;&gt;0),0,IF($C20=4,OFFSET(H20,-CFF.NumLinha,0)+1,OFFSET(H20,-CFF.NumLinha,0)))</f>
        <v>0</v>
      </c>
      <c r="I20" s="265" t="n">
        <f aca="true">MATCH(0,OFFSET($D20,1,$C20,ROW($A$21)-ROW($A20)),0)</f>
        <v>1</v>
      </c>
      <c r="J20" s="265" t="e">
        <f aca="true">MATCH(OFFSET($D20,0,$C20)+1,OFFSET($D20,1,$C20,ROW($A$21)-ROW($A20)),0)</f>
        <v>#N/A</v>
      </c>
      <c r="K20" s="269" t="n">
        <f aca="false">ROUND(INDEX(PO!T$12:T$31,MATCH($A20,PO!$V$12:$V$31,0)),2)+10^-12</f>
        <v>1E-012</v>
      </c>
      <c r="L20" s="256"/>
      <c r="M20" s="257"/>
      <c r="N20" s="258"/>
      <c r="O20" s="270" t="s">
        <v>241</v>
      </c>
      <c r="P20" s="271" t="n">
        <f aca="true">IF($B20,ROUND(P19*$N18,2),ROUND(SUMIF(OFFSET($B20,1,0,$D20),1,OFFSET(P20,1,0,$D20))/SUMIF(OFFSET($B20,1,0,$D20),1,OFFSET($K20,1,0,$D20))*$N18,2))</f>
        <v>0</v>
      </c>
      <c r="Q20" s="272" t="n">
        <f aca="true">IF($B20,ROUND(Q19*$N18,2),ROUND(SUMIF(OFFSET($B20,1,0,$D20),1,OFFSET(Q20,1,0,$D20))/SUMIF(OFFSET($B20,1,0,$D20),1,OFFSET($K20,1,0,$D20))*$N18,2))</f>
        <v>0</v>
      </c>
      <c r="R20" s="272" t="n">
        <f aca="true">IF($B20,ROUND(R19*$N18,2),ROUND(SUMIF(OFFSET($B20,1,0,$D20),1,OFFSET(R20,1,0,$D20))/SUMIF(OFFSET($B20,1,0,$D20),1,OFFSET($K20,1,0,$D20))*$N18,2))</f>
        <v>0</v>
      </c>
      <c r="S20" s="272" t="n">
        <f aca="true">IF($B20,ROUND(S19*$N18,2),ROUND(SUMIF(OFFSET($B20,1,0,$D20),1,OFFSET(S20,1,0,$D20))/SUMIF(OFFSET($B20,1,0,$D20),1,OFFSET($K20,1,0,$D20))*$N18,2))</f>
        <v>0</v>
      </c>
      <c r="T20" s="272" t="n">
        <f aca="true">IF($B20,ROUND(T19*$N18,2),ROUND(SUMIF(OFFSET($B20,1,0,$D20),1,OFFSET(T20,1,0,$D20))/SUMIF(OFFSET($B20,1,0,$D20),1,OFFSET($K20,1,0,$D20))*$N18,2))</f>
        <v>0</v>
      </c>
      <c r="U20" s="272" t="n">
        <f aca="true">IF($B20,ROUND(U19*$N18,2),ROUND(SUMIF(OFFSET($B20,1,0,$D20),1,OFFSET(U20,1,0,$D20))/SUMIF(OFFSET($B20,1,0,$D20),1,OFFSET($K20,1,0,$D20))*$N18,2))</f>
        <v>0</v>
      </c>
      <c r="V20" s="272" t="n">
        <f aca="true">IF($B20,ROUND(V19*$N18,2),ROUND(SUMIF(OFFSET($B20,1,0,$D20),1,OFFSET(V20,1,0,$D20))/SUMIF(OFFSET($B20,1,0,$D20),1,OFFSET($K20,1,0,$D20))*$N18,2))</f>
        <v>0</v>
      </c>
      <c r="W20" s="273" t="n">
        <f aca="true">IF($B20,ROUND(W19*$N18,2),ROUND(SUMIF(OFFSET($B20,1,0,$D20),1,OFFSET(W20,1,0,$D20))/SUMIF(OFFSET($B20,1,0,$D20),1,OFFSET($K20,1,0,$D20))*$N18,2))</f>
        <v>0</v>
      </c>
      <c r="X20" s="263"/>
      <c r="AC20" s="272" t="n">
        <f aca="true">IF($B20,ROUND(AC19*$N18,2),ROUND(SUMIF(OFFSET($B20,1,0,$D20),1,OFFSET(AC20,1,0,$D20))/SUMIF(OFFSET($B20,1,0,$D20),1,OFFSET($K20,1,0,$D20))*$N18,2))</f>
        <v>0</v>
      </c>
    </row>
    <row r="21" s="295" customFormat="true" ht="12.75" hidden="false" customHeight="true" outlineLevel="0" collapsed="false">
      <c r="A21" s="2"/>
      <c r="B21" s="2"/>
      <c r="C21" s="265" t="n">
        <v>-1</v>
      </c>
      <c r="D21" s="265"/>
      <c r="E21" s="265" t="n">
        <v>0</v>
      </c>
      <c r="F21" s="265" t="n">
        <v>0</v>
      </c>
      <c r="G21" s="265" t="n">
        <v>0</v>
      </c>
      <c r="H21" s="265" t="n">
        <v>0</v>
      </c>
      <c r="I21" s="2"/>
      <c r="J21" s="2"/>
      <c r="K21" s="2"/>
      <c r="L21" s="292"/>
      <c r="M21" s="292"/>
      <c r="N21" s="293"/>
      <c r="O21" s="292"/>
      <c r="P21" s="292"/>
      <c r="Q21" s="293"/>
      <c r="R21" s="292"/>
      <c r="S21" s="292"/>
      <c r="T21" s="292"/>
      <c r="U21" s="292"/>
      <c r="V21" s="292"/>
      <c r="W21" s="292"/>
      <c r="X21" s="294"/>
      <c r="AC21" s="292"/>
    </row>
    <row r="22" customFormat="false" ht="12" hidden="false" customHeight="true" outlineLevel="0" collapsed="false">
      <c r="A22" s="2"/>
      <c r="B22" s="2"/>
      <c r="C22" s="2"/>
      <c r="D22" s="2"/>
      <c r="E22" s="2"/>
      <c r="F22" s="2"/>
      <c r="G22" s="2"/>
      <c r="H22" s="2"/>
      <c r="I22" s="2"/>
      <c r="J22" s="2"/>
      <c r="K22" s="2"/>
      <c r="L22" s="296"/>
      <c r="M22" s="296"/>
      <c r="N22" s="296"/>
      <c r="O22" s="296"/>
      <c r="P22" s="296"/>
      <c r="Q22" s="296"/>
      <c r="R22" s="296"/>
      <c r="S22" s="296"/>
      <c r="T22" s="296"/>
      <c r="U22" s="296"/>
      <c r="V22" s="296"/>
      <c r="W22" s="296"/>
      <c r="X22" s="297"/>
      <c r="AC22" s="296"/>
    </row>
    <row r="23" customFormat="false" ht="12.75" hidden="false" customHeight="false" outlineLevel="0" collapsed="false">
      <c r="A23" s="2"/>
      <c r="B23" s="2"/>
      <c r="C23" s="2"/>
      <c r="D23" s="2"/>
      <c r="E23" s="2"/>
      <c r="F23" s="2"/>
      <c r="G23" s="2"/>
      <c r="H23" s="2"/>
      <c r="I23" s="2"/>
      <c r="J23" s="2"/>
      <c r="K23" s="2"/>
      <c r="L23" s="298" t="n">
        <f aca="false">DADOS!I32</f>
        <v>0</v>
      </c>
      <c r="M23" s="298"/>
      <c r="N23" s="298"/>
      <c r="O23" s="296"/>
      <c r="P23" s="299"/>
      <c r="Q23" s="300"/>
      <c r="R23" s="300"/>
      <c r="S23" s="300"/>
      <c r="T23" s="296"/>
      <c r="U23" s="296"/>
      <c r="V23" s="296"/>
      <c r="W23" s="296"/>
      <c r="X23" s="297"/>
      <c r="AC23" s="296"/>
    </row>
    <row r="24" customFormat="false" ht="12.75" hidden="false" customHeight="false" outlineLevel="0" collapsed="false">
      <c r="A24" s="2"/>
      <c r="B24" s="2"/>
      <c r="C24" s="2"/>
      <c r="D24" s="2"/>
      <c r="E24" s="2"/>
      <c r="F24" s="2"/>
      <c r="G24" s="2"/>
      <c r="H24" s="2"/>
      <c r="I24" s="2"/>
      <c r="J24" s="2"/>
      <c r="K24" s="2"/>
      <c r="L24" s="301" t="s">
        <v>171</v>
      </c>
      <c r="M24" s="302"/>
      <c r="N24" s="302"/>
      <c r="O24" s="296"/>
      <c r="P24" s="299"/>
      <c r="Q24" s="300"/>
      <c r="R24" s="300"/>
      <c r="S24" s="300"/>
      <c r="T24" s="296"/>
      <c r="U24" s="296"/>
      <c r="V24" s="296"/>
      <c r="W24" s="296"/>
      <c r="X24" s="297"/>
      <c r="AC24" s="296"/>
    </row>
    <row r="25" customFormat="false" ht="12.75" hidden="false" customHeight="false" outlineLevel="0" collapsed="false">
      <c r="A25" s="2"/>
      <c r="B25" s="2"/>
      <c r="C25" s="2"/>
      <c r="D25" s="2"/>
      <c r="E25" s="2"/>
      <c r="F25" s="2"/>
      <c r="G25" s="2"/>
      <c r="H25" s="2"/>
      <c r="I25" s="2"/>
      <c r="J25" s="2"/>
      <c r="K25" s="2"/>
      <c r="L25" s="299"/>
      <c r="M25" s="303"/>
      <c r="N25" s="303"/>
      <c r="O25" s="296"/>
      <c r="P25" s="299"/>
      <c r="Q25" s="300"/>
      <c r="R25" s="300"/>
      <c r="S25" s="300"/>
      <c r="T25" s="296"/>
      <c r="U25" s="296"/>
      <c r="V25" s="296"/>
      <c r="W25" s="296"/>
      <c r="X25" s="297"/>
      <c r="AC25" s="296"/>
    </row>
    <row r="26" customFormat="false" ht="12.75" hidden="false" customHeight="false" outlineLevel="0" collapsed="false">
      <c r="A26" s="2"/>
      <c r="B26" s="2"/>
      <c r="C26" s="2"/>
      <c r="D26" s="2"/>
      <c r="E26" s="2"/>
      <c r="F26" s="2"/>
      <c r="G26" s="2"/>
      <c r="H26" s="2"/>
      <c r="I26" s="2"/>
      <c r="J26" s="2"/>
      <c r="K26" s="2"/>
      <c r="L26" s="304" t="n">
        <f aca="false">PO!K45</f>
        <v>43740</v>
      </c>
      <c r="M26" s="304"/>
      <c r="N26" s="304"/>
      <c r="O26" s="296"/>
      <c r="P26" s="296"/>
      <c r="Q26" s="296"/>
      <c r="R26" s="296"/>
      <c r="S26" s="296"/>
      <c r="T26" s="296"/>
      <c r="U26" s="296"/>
      <c r="V26" s="296"/>
      <c r="W26" s="296"/>
      <c r="X26" s="305"/>
      <c r="AC26" s="296"/>
    </row>
    <row r="27" customFormat="false" ht="12.75" hidden="false" customHeight="false" outlineLevel="0" collapsed="false">
      <c r="A27" s="2"/>
      <c r="B27" s="2"/>
      <c r="C27" s="2"/>
      <c r="D27" s="2"/>
      <c r="E27" s="2"/>
      <c r="F27" s="2"/>
      <c r="G27" s="2"/>
      <c r="H27" s="2"/>
      <c r="I27" s="2"/>
      <c r="J27" s="2"/>
      <c r="K27" s="2"/>
      <c r="L27" s="306" t="s">
        <v>172</v>
      </c>
      <c r="M27" s="307"/>
      <c r="N27" s="307"/>
      <c r="O27" s="296"/>
      <c r="P27" s="296"/>
      <c r="Q27" s="296"/>
      <c r="R27" s="296"/>
      <c r="S27" s="296"/>
      <c r="T27" s="296"/>
      <c r="U27" s="296"/>
      <c r="V27" s="296"/>
      <c r="W27" s="296"/>
      <c r="X27" s="305"/>
      <c r="AC27" s="296"/>
    </row>
  </sheetData>
  <sheetProtection sheet="true" password="c95b" objects="true" scenarios="true"/>
  <mergeCells count="16">
    <mergeCell ref="L8:M8"/>
    <mergeCell ref="L11:L13"/>
    <mergeCell ref="M11:M13"/>
    <mergeCell ref="N11:N13"/>
    <mergeCell ref="L14:M17"/>
    <mergeCell ref="N14:N17"/>
    <mergeCell ref="L18:L20"/>
    <mergeCell ref="M18:M20"/>
    <mergeCell ref="N18:N20"/>
    <mergeCell ref="L23:N23"/>
    <mergeCell ref="Q23:S23"/>
    <mergeCell ref="M24:N24"/>
    <mergeCell ref="Q24:S24"/>
    <mergeCell ref="M25:N25"/>
    <mergeCell ref="Q25:S25"/>
    <mergeCell ref="L26:N26"/>
  </mergeCells>
  <conditionalFormatting sqref="L11:N11 L12:M13 L18:N18">
    <cfRule type="expression" priority="2" aboveAverage="0" equalAverage="0" bottom="0" percent="0" rank="0" text="" dxfId="62">
      <formula>$C13=1</formula>
    </cfRule>
  </conditionalFormatting>
  <conditionalFormatting sqref="O11 O18">
    <cfRule type="expression" priority="3" aboveAverage="0" equalAverage="0" bottom="0" percent="0" rank="0" text="" dxfId="63">
      <formula>$B13=0</formula>
    </cfRule>
    <cfRule type="expression" priority="4" aboveAverage="0" equalAverage="0" bottom="0" percent="0" rank="0" text="" dxfId="64">
      <formula>$C13=1</formula>
    </cfRule>
  </conditionalFormatting>
  <conditionalFormatting sqref="P12:W12">
    <cfRule type="expression" priority="5" aboveAverage="0" equalAverage="0" bottom="0" percent="0" rank="0" text="" dxfId="65">
      <formula>AND(ISNUMBER(O13),O13&gt;=$N11)</formula>
    </cfRule>
    <cfRule type="cellIs" priority="6" operator="notBetween" aboveAverage="0" equalAverage="0" bottom="0" percent="0" rank="0" text="" dxfId="66">
      <formula>0</formula>
      <formula>1</formula>
    </cfRule>
  </conditionalFormatting>
  <conditionalFormatting sqref="P13:W13">
    <cfRule type="expression" priority="7" aboveAverage="0" equalAverage="0" bottom="0" percent="0" rank="0" text="" dxfId="67">
      <formula>AND(ISNUMBER(O13),O13&gt;=$N11)</formula>
    </cfRule>
    <cfRule type="cellIs" priority="8" operator="notBetween" aboveAverage="0" equalAverage="0" bottom="0" percent="0" rank="0" text="" dxfId="68">
      <formula>0</formula>
      <formula>$N11</formula>
    </cfRule>
  </conditionalFormatting>
  <conditionalFormatting sqref="P14:W14">
    <cfRule type="expression" priority="9" aboveAverage="0" equalAverage="0" bottom="0" percent="0" rank="0" text="" dxfId="69">
      <formula>AND(ISNUMBER(O17),O17&gt;=$N14)</formula>
    </cfRule>
  </conditionalFormatting>
  <conditionalFormatting sqref="P15:W15">
    <cfRule type="expression" priority="10" aboveAverage="0" equalAverage="0" bottom="0" percent="0" rank="0" text="" dxfId="70">
      <formula>AND(ISNUMBER(O17),O17&gt;=$N14)</formula>
    </cfRule>
  </conditionalFormatting>
  <conditionalFormatting sqref="P16:W16">
    <cfRule type="expression" priority="11" aboveAverage="0" equalAverage="0" bottom="0" percent="0" rank="0" text="" dxfId="71">
      <formula>AND(ISNUMBER(O17),O17&gt;=$N14)</formula>
    </cfRule>
    <cfRule type="cellIs" priority="12" operator="notBetween" aboveAverage="0" equalAverage="0" bottom="0" percent="0" rank="0" text="" dxfId="72">
      <formula>0</formula>
      <formula>1</formula>
    </cfRule>
  </conditionalFormatting>
  <conditionalFormatting sqref="P17:W17">
    <cfRule type="expression" priority="13" aboveAverage="0" equalAverage="0" bottom="0" percent="0" rank="0" text="" dxfId="73">
      <formula>AND(ISNUMBER(O17),O17&gt;=$N14)</formula>
    </cfRule>
    <cfRule type="cellIs" priority="14" operator="notBetween" aboveAverage="0" equalAverage="0" bottom="0" percent="0" rank="0" text="" dxfId="74">
      <formula>0</formula>
      <formula>$N14</formula>
    </cfRule>
  </conditionalFormatting>
  <conditionalFormatting sqref="L8">
    <cfRule type="cellIs" priority="15" operator="notEqual" aboveAverage="0" equalAverage="0" bottom="0" percent="0" rank="0" text="" dxfId="75">
      <formula>""</formula>
    </cfRule>
  </conditionalFormatting>
  <conditionalFormatting sqref="N9">
    <cfRule type="expression" priority="16" aboveAverage="0" equalAverage="0" bottom="0" percent="0" rank="0" text="" dxfId="76">
      <formula>TipoOrçamento&lt;&gt;"REPROGRAMADOAC"</formula>
    </cfRule>
  </conditionalFormatting>
  <conditionalFormatting sqref="L19:M20">
    <cfRule type="expression" priority="17" aboveAverage="0" equalAverage="0" bottom="0" percent="0" rank="0" text="" dxfId="77">
      <formula>cff!#ref!=1</formula>
    </cfRule>
  </conditionalFormatting>
  <conditionalFormatting sqref="P11:W11">
    <cfRule type="expression" priority="18" aboveAverage="0" equalAverage="0" bottom="0" percent="0" rank="0" text="" dxfId="78">
      <formula>AND(ISNUMBER(O13),O13&gt;=$N11)</formula>
    </cfRule>
    <cfRule type="expression" priority="19" aboveAverage="0" equalAverage="0" bottom="0" percent="0" rank="0" text="" dxfId="79">
      <formula>$B13=0</formula>
    </cfRule>
    <cfRule type="expression" priority="20" aboveAverage="0" equalAverage="0" bottom="0" percent="0" rank="0" text="" dxfId="80">
      <formula>$C13=1</formula>
    </cfRule>
  </conditionalFormatting>
  <conditionalFormatting sqref="P19:W19">
    <cfRule type="expression" priority="21" aboveAverage="0" equalAverage="0" bottom="0" percent="0" rank="0" text="" dxfId="81">
      <formula>AND(ISNUMBER(O20),O20&gt;=$N18)</formula>
    </cfRule>
    <cfRule type="cellIs" priority="22" operator="notBetween" aboveAverage="0" equalAverage="0" bottom="0" percent="0" rank="0" text="" dxfId="82">
      <formula>0</formula>
      <formula>1</formula>
    </cfRule>
  </conditionalFormatting>
  <conditionalFormatting sqref="P20:W20">
    <cfRule type="expression" priority="23" aboveAverage="0" equalAverage="0" bottom="0" percent="0" rank="0" text="" dxfId="83">
      <formula>AND(ISNUMBER(O20),O20&gt;=$N18)</formula>
    </cfRule>
    <cfRule type="cellIs" priority="24" operator="notBetween" aboveAverage="0" equalAverage="0" bottom="0" percent="0" rank="0" text="" dxfId="84">
      <formula>0</formula>
      <formula>$N18</formula>
    </cfRule>
  </conditionalFormatting>
  <conditionalFormatting sqref="O10:W10">
    <cfRule type="expression" priority="25" aboveAverage="0" equalAverage="0" bottom="0" percent="0" rank="0" text="" dxfId="85">
      <formula>1=1</formula>
    </cfRule>
  </conditionalFormatting>
  <conditionalFormatting sqref="P18:W18">
    <cfRule type="expression" priority="26" aboveAverage="0" equalAverage="0" bottom="0" percent="0" rank="0" text="" dxfId="86">
      <formula>AND(ISNUMBER(O20),O20&gt;=$N18)</formula>
    </cfRule>
    <cfRule type="expression" priority="27" aboveAverage="0" equalAverage="0" bottom="0" percent="0" rank="0" text="" dxfId="87">
      <formula>$B20=0</formula>
    </cfRule>
    <cfRule type="expression" priority="28" aboveAverage="0" equalAverage="0" bottom="0" percent="0" rank="0" text="" dxfId="88">
      <formula>$C20=1</formula>
    </cfRule>
  </conditionalFormatting>
  <conditionalFormatting sqref="AC18">
    <cfRule type="expression" priority="29" aboveAverage="0" equalAverage="0" bottom="0" percent="0" rank="0" text="" dxfId="89">
      <formula>AND(ISNUMBER(AB20),AB20&gt;=$N18)</formula>
    </cfRule>
    <cfRule type="expression" priority="30" aboveAverage="0" equalAverage="0" bottom="0" percent="0" rank="0" text="" dxfId="90">
      <formula>$B20=0</formula>
    </cfRule>
    <cfRule type="expression" priority="31" aboveAverage="0" equalAverage="0" bottom="0" percent="0" rank="0" text="" dxfId="91">
      <formula>$C20=1</formula>
    </cfRule>
  </conditionalFormatting>
  <conditionalFormatting sqref="AC12">
    <cfRule type="expression" priority="32" aboveAverage="0" equalAverage="0" bottom="0" percent="0" rank="0" text="" dxfId="92">
      <formula>AND(ISNUMBER(AB13),AB13&gt;=$N11)</formula>
    </cfRule>
    <cfRule type="cellIs" priority="33" operator="notBetween" aboveAverage="0" equalAverage="0" bottom="0" percent="0" rank="0" text="" dxfId="93">
      <formula>0</formula>
      <formula>1</formula>
    </cfRule>
  </conditionalFormatting>
  <conditionalFormatting sqref="AC13">
    <cfRule type="expression" priority="34" aboveAverage="0" equalAverage="0" bottom="0" percent="0" rank="0" text="" dxfId="94">
      <formula>AND(ISNUMBER(AB13),AB13&gt;=$N11)</formula>
    </cfRule>
    <cfRule type="cellIs" priority="35" operator="notBetween" aboveAverage="0" equalAverage="0" bottom="0" percent="0" rank="0" text="" dxfId="95">
      <formula>0</formula>
      <formula>$N11</formula>
    </cfRule>
  </conditionalFormatting>
  <conditionalFormatting sqref="AC14">
    <cfRule type="expression" priority="36" aboveAverage="0" equalAverage="0" bottom="0" percent="0" rank="0" text="" dxfId="96">
      <formula>AND(ISNUMBER(AB17),AB17&gt;=$N14)</formula>
    </cfRule>
  </conditionalFormatting>
  <conditionalFormatting sqref="AC15">
    <cfRule type="expression" priority="37" aboveAverage="0" equalAverage="0" bottom="0" percent="0" rank="0" text="" dxfId="97">
      <formula>AND(ISNUMBER(AB17),AB17&gt;=$N14)</formula>
    </cfRule>
  </conditionalFormatting>
  <conditionalFormatting sqref="AC16">
    <cfRule type="expression" priority="38" aboveAverage="0" equalAverage="0" bottom="0" percent="0" rank="0" text="" dxfId="98">
      <formula>AND(ISNUMBER(AB17),AB17&gt;=$N14)</formula>
    </cfRule>
    <cfRule type="cellIs" priority="39" operator="notBetween" aboveAverage="0" equalAverage="0" bottom="0" percent="0" rank="0" text="" dxfId="99">
      <formula>0</formula>
      <formula>1</formula>
    </cfRule>
  </conditionalFormatting>
  <conditionalFormatting sqref="AC17">
    <cfRule type="expression" priority="40" aboveAverage="0" equalAverage="0" bottom="0" percent="0" rank="0" text="" dxfId="100">
      <formula>AND(ISNUMBER(AB17),AB17&gt;=$N14)</formula>
    </cfRule>
    <cfRule type="cellIs" priority="41" operator="notBetween" aboveAverage="0" equalAverage="0" bottom="0" percent="0" rank="0" text="" dxfId="101">
      <formula>0</formula>
      <formula>$N14</formula>
    </cfRule>
  </conditionalFormatting>
  <conditionalFormatting sqref="AC11">
    <cfRule type="expression" priority="42" aboveAverage="0" equalAverage="0" bottom="0" percent="0" rank="0" text="" dxfId="102">
      <formula>AND(ISNUMBER(AB13),AB13&gt;=$N11)</formula>
    </cfRule>
    <cfRule type="expression" priority="43" aboveAverage="0" equalAverage="0" bottom="0" percent="0" rank="0" text="" dxfId="103">
      <formula>$B13=0</formula>
    </cfRule>
    <cfRule type="expression" priority="44" aboveAverage="0" equalAverage="0" bottom="0" percent="0" rank="0" text="" dxfId="104">
      <formula>$C13=1</formula>
    </cfRule>
  </conditionalFormatting>
  <conditionalFormatting sqref="AC19">
    <cfRule type="expression" priority="45" aboveAverage="0" equalAverage="0" bottom="0" percent="0" rank="0" text="" dxfId="105">
      <formula>AND(ISNUMBER(AB20),AB20&gt;=$N18)</formula>
    </cfRule>
    <cfRule type="cellIs" priority="46" operator="notBetween" aboveAverage="0" equalAverage="0" bottom="0" percent="0" rank="0" text="" dxfId="106">
      <formula>0</formula>
      <formula>1</formula>
    </cfRule>
  </conditionalFormatting>
  <conditionalFormatting sqref="AC20">
    <cfRule type="expression" priority="47" aboveAverage="0" equalAverage="0" bottom="0" percent="0" rank="0" text="" dxfId="107">
      <formula>AND(ISNUMBER(AB20),AB20&gt;=$N18)</formula>
    </cfRule>
    <cfRule type="cellIs" priority="48" operator="notBetween" aboveAverage="0" equalAverage="0" bottom="0" percent="0" rank="0" text="" dxfId="108">
      <formula>0</formula>
      <formula>$N18</formula>
    </cfRule>
  </conditionalFormatting>
  <conditionalFormatting sqref="AC10">
    <cfRule type="expression" priority="49" aboveAverage="0" equalAverage="0" bottom="0" percent="0" rank="0" text="" dxfId="109">
      <formula>1=1</formula>
    </cfRule>
  </conditionalFormatting>
  <dataValidations count="2">
    <dataValidation allowBlank="true" error="Digite somente números inteiros positivos." errorTitle="Erro de Valor" operator="greaterThanOrEqual" prompt="Digite a quantidade de medições já realizadas para o CTEF antes da Reprogramação." promptTitle="Qtde de Medições já realizadas:" showDropDown="false" showErrorMessage="true" showInputMessage="true" sqref="N9" type="whole">
      <formula1>0</formula1>
      <formula2>0</formula2>
    </dataValidation>
    <dataValidation allowBlank="true" error="Digite valores maiores ou iguais à 0%. O % acumulado não deve ultrapassar 100%." errorTitle="Erro de Dados" operator="between" showDropDown="false" showErrorMessage="true" showInputMessage="true" sqref="P11:W11 AC11 P18:W18 AC18" type="decimal">
      <formula1>0</formula1>
      <formula2>1-SUM($P11:P11)+P11</formula2>
    </dataValidation>
  </dataValidations>
  <printOptions headings="false" gridLines="false" gridLinesSet="true" horizontalCentered="true" verticalCentered="false"/>
  <pageMargins left="0.7875" right="0.7875" top="0.786805555555556" bottom="0.786805555555556" header="0.590277777777778" footer="0.590277777777778"/>
  <pageSetup paperSize="9" scale="62" firstPageNumber="0" fitToWidth="1" fitToHeight="1" pageOrder="downThenOver" orientation="landscape" blackAndWhite="false" draft="false" cellComments="none" useFirstPageNumber="false" horizontalDpi="300" verticalDpi="300" copies="1"/>
  <headerFooter differentFirst="false" differentOddEven="false">
    <oddHeader>&amp;C&amp;14I</oddHeader>
    <oddFooter>&amp;L27.476 v007   micro&amp;R&amp;P</oddFooter>
  </headerFooter>
  <drawing r:id="rId1"/>
</worksheet>
</file>

<file path=docProps/app.xml><?xml version="1.0" encoding="utf-8"?>
<Properties xmlns="http://schemas.openxmlformats.org/officeDocument/2006/extended-properties" xmlns:vt="http://schemas.openxmlformats.org/officeDocument/2006/docPropsVTypes">
  <Template/>
  <TotalTime>1</TotalTime>
  <Application>LibreOffice/6.1.0.3$Windows_X86_64 LibreOffice_project/efb621ed25068d70781dc026f7e9c5187a4decd1</Application>
  <Company>caixa econômica federal</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1998-03-27T18:43:07Z</dcterms:created>
  <dc:creator>Diego Lenz Leite</dc:creator>
  <dc:description/>
  <dc:language>pt-BR</dc:language>
  <cp:lastModifiedBy/>
  <cp:lastPrinted>2019-06-06T16:24:06Z</cp:lastPrinted>
  <dcterms:modified xsi:type="dcterms:W3CDTF">2019-10-02T08:51:03Z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caixa econômica federal</vt:lpwstr>
  </property>
  <property fmtid="{D5CDD505-2E9C-101B-9397-08002B2CF9AE}" pid="4" name="DocSecurity">
    <vt:i4>1</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