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3040" windowHeight="8610"/>
  </bookViews>
  <sheets>
    <sheet name="ORÇAMENTO" sheetId="1" r:id="rId1"/>
    <sheet name="MEMORIA DE CÁCULO" sheetId="2" r:id="rId2"/>
    <sheet name="CRONOGRAMA FÍSICOFINANCEIRO DEF" sheetId="3" r:id="rId3"/>
    <sheet name="CRONOGRAMA DE DESEM OK Etapas" sheetId="5" r:id="rId4"/>
  </sheets>
  <definedNames>
    <definedName name="_xlnm.Print_Area" localSheetId="3">'CRONOGRAMA DE DESEM OK Etapas'!$A$1:$N$43</definedName>
    <definedName name="_xlnm.Print_Area" localSheetId="2">'CRONOGRAMA FÍSICOFINANCEIRO DEF'!$A$1:$N$101</definedName>
    <definedName name="_xlnm.Print_Area" localSheetId="1">'MEMORIA DE CÁCULO'!$A$1:$H$362</definedName>
    <definedName name="_xlnm.Print_Area" localSheetId="0">ORÇAMENTO!$A$1:$H$381</definedName>
    <definedName name="Print_Titles_0" localSheetId="2">'CRONOGRAMA FÍSICOFINANCEIRO DEF'!$1:$18</definedName>
    <definedName name="Print_Titles_0_0" localSheetId="2">'CRONOGRAMA FÍSICOFINANCEIRO DEF'!$1:$18</definedName>
    <definedName name="Print_Titles_0_0_0" localSheetId="2">'CRONOGRAMA FÍSICOFINANCEIRO DEF'!$1:$18</definedName>
    <definedName name="Print_Titles_0_0_0_0" localSheetId="2">'CRONOGRAMA FÍSICOFINANCEIRO DEF'!$1:$18</definedName>
    <definedName name="Print_Titles_0_0_0_0_0" localSheetId="2">'CRONOGRAMA FÍSICOFINANCEIRO DEF'!$1:$18</definedName>
    <definedName name="Print_Titles_0_0_0_0_0_0" localSheetId="2">'CRONOGRAMA FÍSICOFINANCEIRO DEF'!$1:$18</definedName>
    <definedName name="Print_Titles_0_0_0_0_0_0_0" localSheetId="2">'CRONOGRAMA FÍSICOFINANCEIRO DEF'!$1:$18</definedName>
    <definedName name="Print_Titles_0_0_0_0_0_0_0_0" localSheetId="2">'CRONOGRAMA FÍSICOFINANCEIRO DEF'!$1:$18</definedName>
    <definedName name="Print_Titles_0_0_0_0_0_0_0_0_0" localSheetId="2">'CRONOGRAMA FÍSICOFINANCEIRO DEF'!$1:$18</definedName>
    <definedName name="Print_Titles_0_0_0_0_0_0_0_0_0_0" localSheetId="2">'CRONOGRAMA FÍSICOFINANCEIRO DEF'!$1:$18</definedName>
    <definedName name="Print_Titles_0_0_0_0_0_0_0_0_0_0_0" localSheetId="2">'CRONOGRAMA FÍSICOFINANCEIRO DEF'!$1:$18</definedName>
    <definedName name="Print_Titles_0_0_0_0_0_0_0_0_0_0_0_0" localSheetId="2">'CRONOGRAMA FÍSICOFINANCEIRO DEF'!$1:$18</definedName>
    <definedName name="Print_Titles_0_0_0_0_0_0_0_0_0_0_0_0_0" localSheetId="2">'CRONOGRAMA FÍSICOFINANCEIRO DEF'!$1:$18</definedName>
    <definedName name="Print_Titles_0_0_0_0_0_0_0_0_0_0_0_0_0_0" localSheetId="2">'CRONOGRAMA FÍSICOFINANCEIRO DEF'!$1:$18</definedName>
    <definedName name="_xlnm.Print_Titles" localSheetId="2">'CRONOGRAMA FÍSICOFINANCEIRO DEF'!$1:$18</definedName>
    <definedName name="_xlnm.Print_Titles" localSheetId="1">'MEMORIA DE CÁCULO'!$1:$15</definedName>
    <definedName name="_xlnm.Print_Titles" localSheetId="0">ORÇAMENTO!$1:$15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2"/>
  <c r="I26" i="5"/>
  <c r="I24" s="1"/>
  <c r="E26"/>
  <c r="N26" s="1"/>
  <c r="N25"/>
  <c r="N22"/>
  <c r="K21"/>
  <c r="N21" s="1"/>
  <c r="F21"/>
  <c r="N20"/>
  <c r="K19"/>
  <c r="N19" s="1"/>
  <c r="F19"/>
  <c r="N18"/>
  <c r="K17"/>
  <c r="N17" s="1"/>
  <c r="F17"/>
  <c r="K13"/>
  <c r="F13"/>
  <c r="L9"/>
  <c r="F47" i="1"/>
  <c r="F38"/>
  <c r="F37"/>
  <c r="F36"/>
  <c r="F35"/>
  <c r="F34"/>
  <c r="F32"/>
  <c r="F32" i="2"/>
  <c r="F31" i="1"/>
  <c r="F30"/>
  <c r="F158"/>
  <c r="F160"/>
  <c r="F161"/>
  <c r="F164"/>
  <c r="F163"/>
  <c r="F345" i="2"/>
  <c r="F23"/>
  <c r="F21"/>
  <c r="F96" i="3"/>
  <c r="K36"/>
  <c r="F24"/>
  <c r="E24"/>
  <c r="E22"/>
  <c r="D22"/>
  <c r="F222" i="2"/>
  <c r="F205"/>
  <c r="F160"/>
  <c r="F158"/>
  <c r="F145"/>
  <c r="F89"/>
  <c r="I27" i="5" l="1"/>
  <c r="E24"/>
  <c r="N24" s="1"/>
  <c r="E27"/>
  <c r="N38" i="3"/>
  <c r="M96"/>
  <c r="N50"/>
  <c r="M49" s="1"/>
  <c r="F359" i="1"/>
  <c r="F356"/>
  <c r="F342" i="2"/>
  <c r="F296"/>
  <c r="F302" i="1"/>
  <c r="F317"/>
  <c r="F264" i="2"/>
  <c r="F270" i="1"/>
  <c r="F269"/>
  <c r="F263" i="2"/>
  <c r="N27" i="5" l="1"/>
  <c r="F305" i="1"/>
  <c r="F348" i="2"/>
  <c r="F236" i="1"/>
  <c r="F36" i="2"/>
  <c r="F56" i="1"/>
  <c r="F55"/>
  <c r="F98"/>
  <c r="F271"/>
  <c r="F265" i="2"/>
  <c r="N86" i="3"/>
  <c r="F85" s="1"/>
  <c r="L96"/>
  <c r="K96"/>
  <c r="J96"/>
  <c r="I96"/>
  <c r="H96"/>
  <c r="G96"/>
  <c r="E96"/>
  <c r="D96"/>
  <c r="N94"/>
  <c r="G93" s="1"/>
  <c r="N92"/>
  <c r="F91" s="1"/>
  <c r="N90"/>
  <c r="F89" s="1"/>
  <c r="N88"/>
  <c r="F87" s="1"/>
  <c r="N74"/>
  <c r="H73" s="1"/>
  <c r="N68"/>
  <c r="N70"/>
  <c r="J69" s="1"/>
  <c r="N58"/>
  <c r="H57" s="1"/>
  <c r="N56"/>
  <c r="F55" s="1"/>
  <c r="N54"/>
  <c r="E53" s="1"/>
  <c r="N52"/>
  <c r="M51" s="1"/>
  <c r="N48"/>
  <c r="M47" s="1"/>
  <c r="N46"/>
  <c r="L45" s="1"/>
  <c r="N44"/>
  <c r="N42"/>
  <c r="K41" s="1"/>
  <c r="N40"/>
  <c r="L39" s="1"/>
  <c r="L37"/>
  <c r="N36"/>
  <c r="N34"/>
  <c r="K33" s="1"/>
  <c r="N32"/>
  <c r="K31" s="1"/>
  <c r="N30"/>
  <c r="L29" s="1"/>
  <c r="N28"/>
  <c r="N26"/>
  <c r="N24"/>
  <c r="E23" s="1"/>
  <c r="N22"/>
  <c r="N20"/>
  <c r="F257" i="1"/>
  <c r="F213"/>
  <c r="F31" i="2"/>
  <c r="F201" i="1"/>
  <c r="F23"/>
  <c r="F196" i="2"/>
  <c r="F195"/>
  <c r="F181" i="1"/>
  <c r="F162" i="2"/>
  <c r="F318" i="1"/>
  <c r="F113"/>
  <c r="F80"/>
  <c r="F81"/>
  <c r="F74"/>
  <c r="F62"/>
  <c r="F61"/>
  <c r="F53"/>
  <c r="F42"/>
  <c r="F43"/>
  <c r="F214"/>
  <c r="F338" i="2"/>
  <c r="F348" i="1"/>
  <c r="F248"/>
  <c r="E19" i="3" l="1"/>
  <c r="F19"/>
  <c r="F44" i="1"/>
  <c r="N96" i="3"/>
  <c r="N49" s="1"/>
  <c r="J39"/>
  <c r="K39"/>
  <c r="K37"/>
  <c r="L41"/>
  <c r="M41"/>
  <c r="E85"/>
  <c r="I67"/>
  <c r="F53"/>
  <c r="G55"/>
  <c r="J37"/>
  <c r="J33"/>
  <c r="F21"/>
  <c r="D21"/>
  <c r="E21"/>
  <c r="D19"/>
  <c r="N47" l="1"/>
  <c r="N85"/>
  <c r="I23" l="1"/>
  <c r="H27"/>
  <c r="G57"/>
  <c r="N60"/>
  <c r="H59" s="1"/>
  <c r="N62"/>
  <c r="I61" s="1"/>
  <c r="N64"/>
  <c r="I63" s="1"/>
  <c r="N66"/>
  <c r="H65" s="1"/>
  <c r="N72"/>
  <c r="I71" s="1"/>
  <c r="N76"/>
  <c r="I75" s="1"/>
  <c r="N78"/>
  <c r="G77" s="1"/>
  <c r="N80"/>
  <c r="N82"/>
  <c r="J81" s="1"/>
  <c r="N84"/>
  <c r="J83" s="1"/>
  <c r="F98" i="2"/>
  <c r="F78" i="1"/>
  <c r="H79" i="3" l="1"/>
  <c r="I79"/>
  <c r="I73"/>
  <c r="H71"/>
  <c r="K45"/>
  <c r="H45"/>
  <c r="I45"/>
  <c r="J45"/>
  <c r="I37"/>
  <c r="H31"/>
  <c r="I31"/>
  <c r="F25"/>
  <c r="E25"/>
  <c r="I27"/>
  <c r="H25"/>
  <c r="J27"/>
  <c r="J31"/>
  <c r="H23"/>
  <c r="G23"/>
  <c r="H77"/>
  <c r="G25"/>
  <c r="F23"/>
  <c r="I77"/>
  <c r="J77"/>
  <c r="G59"/>
  <c r="F341" i="2"/>
  <c r="F314"/>
  <c r="F313"/>
  <c r="F312"/>
  <c r="F311"/>
  <c r="F299"/>
  <c r="F300"/>
  <c r="F289"/>
  <c r="F283"/>
  <c r="F281"/>
  <c r="F283" i="1"/>
  <c r="F277" i="2"/>
  <c r="F272"/>
  <c r="F270"/>
  <c r="F266"/>
  <c r="F260"/>
  <c r="F256"/>
  <c r="F257" s="1"/>
  <c r="F252"/>
  <c r="F249"/>
  <c r="F250" s="1"/>
  <c r="F251"/>
  <c r="F242"/>
  <c r="F241"/>
  <c r="F240"/>
  <c r="F245" s="1"/>
  <c r="F237"/>
  <c r="F236"/>
  <c r="F235"/>
  <c r="F234"/>
  <c r="F231"/>
  <c r="F230"/>
  <c r="F229"/>
  <c r="F228"/>
  <c r="F227"/>
  <c r="F226"/>
  <c r="F225"/>
  <c r="F230" i="1"/>
  <c r="F229"/>
  <c r="F223" i="2"/>
  <c r="F224"/>
  <c r="F219"/>
  <c r="F218"/>
  <c r="F220" s="1"/>
  <c r="F215"/>
  <c r="F214"/>
  <c r="F213"/>
  <c r="F212"/>
  <c r="F208"/>
  <c r="F209" s="1"/>
  <c r="F207"/>
  <c r="F204"/>
  <c r="F203"/>
  <c r="F202"/>
  <c r="F207" i="1"/>
  <c r="F201" i="2"/>
  <c r="F182"/>
  <c r="F181"/>
  <c r="F164"/>
  <c r="F163"/>
  <c r="F161"/>
  <c r="F143"/>
  <c r="F142"/>
  <c r="F140"/>
  <c r="F129"/>
  <c r="F122"/>
  <c r="F119"/>
  <c r="F113"/>
  <c r="F103"/>
  <c r="F86"/>
  <c r="F85" i="1"/>
  <c r="F85" i="2"/>
  <c r="F81"/>
  <c r="F82" s="1"/>
  <c r="F80"/>
  <c r="F78"/>
  <c r="F79" s="1"/>
  <c r="F75"/>
  <c r="F74"/>
  <c r="F71"/>
  <c r="F70"/>
  <c r="F68"/>
  <c r="F67"/>
  <c r="F66"/>
  <c r="F65"/>
  <c r="F62"/>
  <c r="F61"/>
  <c r="F60"/>
  <c r="F56"/>
  <c r="F55"/>
  <c r="F54"/>
  <c r="F53"/>
  <c r="F50"/>
  <c r="F52" s="1"/>
  <c r="F47"/>
  <c r="F48" s="1"/>
  <c r="F43"/>
  <c r="F44" s="1"/>
  <c r="F42"/>
  <c r="F41" i="1"/>
  <c r="F41" i="2"/>
  <c r="F40" i="1"/>
  <c r="F39"/>
  <c r="F40" i="2"/>
  <c r="F39"/>
  <c r="F37"/>
  <c r="F35"/>
  <c r="F30"/>
  <c r="F24"/>
  <c r="F305"/>
  <c r="F197"/>
  <c r="F154"/>
  <c r="F153"/>
  <c r="F34" l="1"/>
  <c r="L43" i="3"/>
  <c r="K43"/>
  <c r="J43"/>
  <c r="I43"/>
  <c r="G43"/>
  <c r="H43"/>
  <c r="N23"/>
  <c r="N31"/>
  <c r="N33"/>
  <c r="N21"/>
  <c r="N19"/>
  <c r="E95"/>
  <c r="D95"/>
  <c r="N25"/>
  <c r="N69"/>
  <c r="J95"/>
  <c r="L95"/>
  <c r="N41"/>
  <c r="N93"/>
  <c r="K95"/>
  <c r="G95"/>
  <c r="I95"/>
  <c r="N87"/>
  <c r="N45"/>
  <c r="N91"/>
  <c r="N81"/>
  <c r="N77"/>
  <c r="N89"/>
  <c r="N51"/>
  <c r="N75"/>
  <c r="F95"/>
  <c r="M95"/>
  <c r="H95"/>
  <c r="N35"/>
  <c r="L35"/>
  <c r="K35"/>
  <c r="N43"/>
  <c r="N27"/>
  <c r="N29"/>
  <c r="N37"/>
  <c r="N55"/>
  <c r="N61"/>
  <c r="N63"/>
  <c r="N71"/>
  <c r="N73"/>
  <c r="N83"/>
  <c r="N59"/>
  <c r="N65"/>
  <c r="N67"/>
  <c r="N79"/>
  <c r="N53"/>
  <c r="N57"/>
  <c r="F51" i="2"/>
  <c r="F102"/>
  <c r="F49"/>
  <c r="F57"/>
  <c r="F38"/>
  <c r="F246"/>
  <c r="F206"/>
  <c r="F210"/>
  <c r="F253"/>
  <c r="F33"/>
  <c r="F221"/>
  <c r="N95" i="3" l="1"/>
  <c r="F271" i="2"/>
  <c r="F295" i="1" l="1"/>
  <c r="F82"/>
  <c r="F258" l="1"/>
  <c r="F228"/>
  <c r="F224"/>
  <c r="F103"/>
  <c r="F221"/>
  <c r="F79"/>
  <c r="F182"/>
  <c r="F154"/>
  <c r="F153"/>
  <c r="F129"/>
  <c r="F122"/>
  <c r="F119"/>
  <c r="F71"/>
  <c r="F70"/>
  <c r="F67"/>
  <c r="F66"/>
  <c r="F65"/>
  <c r="F60"/>
  <c r="F54"/>
  <c r="F50"/>
  <c r="F24"/>
  <c r="F320"/>
  <c r="F319"/>
  <c r="F311"/>
  <c r="F289"/>
  <c r="F287"/>
  <c r="F272"/>
  <c r="F262"/>
  <c r="F256"/>
  <c r="F247"/>
  <c r="F246"/>
  <c r="F243"/>
  <c r="F242"/>
  <c r="F241"/>
  <c r="F240"/>
  <c r="F237"/>
  <c r="F235"/>
  <c r="F232"/>
  <c r="F225"/>
  <c r="F226"/>
  <c r="F220"/>
  <c r="F219"/>
  <c r="F218"/>
  <c r="F210"/>
  <c r="F209"/>
  <c r="F208"/>
  <c r="F203"/>
  <c r="F202"/>
  <c r="F251" l="1"/>
  <c r="F263"/>
  <c r="F52"/>
  <c r="F48"/>
  <c r="F57"/>
  <c r="F227"/>
  <c r="F102"/>
  <c r="F51"/>
  <c r="F211"/>
  <c r="F33"/>
  <c r="F49"/>
  <c r="F259"/>
  <c r="F276"/>
  <c r="F216"/>
  <c r="F212"/>
  <c r="F215"/>
  <c r="F252"/>
  <c r="F306"/>
  <c r="F277" l="1"/>
  <c r="F278"/>
  <c r="N39" i="3" l="1"/>
</calcChain>
</file>

<file path=xl/sharedStrings.xml><?xml version="1.0" encoding="utf-8"?>
<sst xmlns="http://schemas.openxmlformats.org/spreadsheetml/2006/main" count="3167" uniqueCount="891">
  <si>
    <t>Ítem</t>
  </si>
  <si>
    <t>Base Serviços</t>
  </si>
  <si>
    <t>Códigos Serviços</t>
  </si>
  <si>
    <t>Descrição dos Serviços</t>
  </si>
  <si>
    <t>Unidade</t>
  </si>
  <si>
    <t>Quant.</t>
  </si>
  <si>
    <t>Preço Unitário R$</t>
  </si>
  <si>
    <t>Valor total R$</t>
  </si>
  <si>
    <t>Planilha Orçamentária</t>
  </si>
  <si>
    <t>1.1</t>
  </si>
  <si>
    <t>3.1</t>
  </si>
  <si>
    <t>4.1</t>
  </si>
  <si>
    <t>4.2</t>
  </si>
  <si>
    <t>5.1</t>
  </si>
  <si>
    <t>5.2</t>
  </si>
  <si>
    <t>5.3</t>
  </si>
  <si>
    <t>m²</t>
  </si>
  <si>
    <t>m³</t>
  </si>
  <si>
    <t>m</t>
  </si>
  <si>
    <t>Resp. Téc.: Arq. Dênis Mendes de Moraes</t>
  </si>
  <si>
    <t>CAU Nº.: A96375-5</t>
  </si>
  <si>
    <t>Subtotal item 1</t>
  </si>
  <si>
    <t>Subtotal item 3</t>
  </si>
  <si>
    <t>1.2</t>
  </si>
  <si>
    <t>5.4</t>
  </si>
  <si>
    <t>5.5</t>
  </si>
  <si>
    <t>5.6</t>
  </si>
  <si>
    <t>A</t>
  </si>
  <si>
    <t xml:space="preserve">    Prefeitura Municipal da Estância Turística de Paraguaçu Paulista</t>
  </si>
  <si>
    <t>Local: Paraguaçu Paulista - SP</t>
  </si>
  <si>
    <t>Subtotal item 8</t>
  </si>
  <si>
    <t>Subtotal item 9</t>
  </si>
  <si>
    <t>4.4</t>
  </si>
  <si>
    <t>6.1</t>
  </si>
  <si>
    <t>6.2</t>
  </si>
  <si>
    <t xml:space="preserve">Total </t>
  </si>
  <si>
    <t>Estrutura do piso e cobertura</t>
  </si>
  <si>
    <t>unid.</t>
  </si>
  <si>
    <t>16.02.045</t>
  </si>
  <si>
    <t>Telha de barro colonial/paulista</t>
  </si>
  <si>
    <t>B</t>
  </si>
  <si>
    <t>Guarda Corpo e Corrimão</t>
  </si>
  <si>
    <t>Deck</t>
  </si>
  <si>
    <t>Pintura</t>
  </si>
  <si>
    <t>33.05.330</t>
  </si>
  <si>
    <t>Verniz em Superficie de Madeira</t>
  </si>
  <si>
    <t>Iluminação</t>
  </si>
  <si>
    <t>38.01.040</t>
  </si>
  <si>
    <t>Eletroduto de PVC rígido roscável de 3/4´ - com acessórios</t>
  </si>
  <si>
    <t>38.04.040</t>
  </si>
  <si>
    <t>Eletroduto galvanizado a quente conforme NBR6323 - 3/4´ com acessórios</t>
  </si>
  <si>
    <t>1.3</t>
  </si>
  <si>
    <t>41.13.102</t>
  </si>
  <si>
    <t>Luminária blindada tipo arandela de 45º e 90º, para lâmpada LED</t>
  </si>
  <si>
    <t>39.02.020</t>
  </si>
  <si>
    <t>Cabo de cobre de 4 mm², isolamento 750 V - isolação em PVC 70°C</t>
  </si>
  <si>
    <t>39.02.016</t>
  </si>
  <si>
    <t>Cabo de cobre de 2,5 mm², isolamento 750 V - isolação em PVC 70°C</t>
  </si>
  <si>
    <t>Reforma do Pier - Atracadouro</t>
  </si>
  <si>
    <t>2.1</t>
  </si>
  <si>
    <t>20.03.010</t>
  </si>
  <si>
    <t>Soalho em tábua de madeira aparelhada (valor equivalente)</t>
  </si>
  <si>
    <t>1.4</t>
  </si>
  <si>
    <t>23.08.010</t>
  </si>
  <si>
    <t>Estrado em Madeira</t>
  </si>
  <si>
    <t>Estrutura de madeira tesourada para telha de barro - vãos até 7,00 m</t>
  </si>
  <si>
    <t>15.01.010</t>
  </si>
  <si>
    <t>Fornecimento de peças diversas para estrutura em madeira</t>
  </si>
  <si>
    <t>15.20.020</t>
  </si>
  <si>
    <t>Chapa de aço em bitolas medias</t>
  </si>
  <si>
    <t>32.09.020</t>
  </si>
  <si>
    <t>kg</t>
  </si>
  <si>
    <t>2.2</t>
  </si>
  <si>
    <t>Serviços Preliminares</t>
  </si>
  <si>
    <t>CPOS-182</t>
  </si>
  <si>
    <t>02.09.030</t>
  </si>
  <si>
    <t>Limpeza manual do terreno</t>
  </si>
  <si>
    <t>06.11.040</t>
  </si>
  <si>
    <t>Reaterro manual apiloado sem controle de compactação</t>
  </si>
  <si>
    <t>02.10.020</t>
  </si>
  <si>
    <t>Locação de obra de edificação</t>
  </si>
  <si>
    <t>02.02.150</t>
  </si>
  <si>
    <t>Locação de container tipo deposito - área mínima de 13,80 m²</t>
  </si>
  <si>
    <t>unxmês</t>
  </si>
  <si>
    <t>Infraestrutura</t>
  </si>
  <si>
    <t>12.12.014</t>
  </si>
  <si>
    <t>Estaca tipo hélice contínua, diâmetro de 25 cm em solo</t>
  </si>
  <si>
    <t>11.01.510</t>
  </si>
  <si>
    <t>Concreto usinado, fck = 20 MPa - para bombeamento em estaca hélice contínua</t>
  </si>
  <si>
    <t>2.3</t>
  </si>
  <si>
    <t>11.01.290</t>
  </si>
  <si>
    <t>Concreto usinado, fck = 25,0 MPa - para bombeamento - Baldrame</t>
  </si>
  <si>
    <t>2.4</t>
  </si>
  <si>
    <t>11.16.040</t>
  </si>
  <si>
    <t>Lançamento e adensamento de concreto ou massa em fundação - Viga Baldrame</t>
  </si>
  <si>
    <t>2.5</t>
  </si>
  <si>
    <t>10.01.040</t>
  </si>
  <si>
    <t xml:space="preserve">Armadura em barra de aço CA-50 (A ou B) fyk= 500 Mpa - Viga Baldrame </t>
  </si>
  <si>
    <t>Kg</t>
  </si>
  <si>
    <t>2.6</t>
  </si>
  <si>
    <t>10.01.060</t>
  </si>
  <si>
    <t>Armadura em barra de aço CA-60 (A ou B) fyk= 600 Mpa - Viga Baldrame</t>
  </si>
  <si>
    <t>09.01.030</t>
  </si>
  <si>
    <t>Forma de madeira comum para estrutura</t>
  </si>
  <si>
    <t>2.8</t>
  </si>
  <si>
    <t>Concreto usinado, fck = 25,0 MPa - para bombeamento - Blocos de coroamento</t>
  </si>
  <si>
    <t>2.9</t>
  </si>
  <si>
    <t>Lançamento e adensamento de concreto ou massa em fundação - Blocos de coroamento</t>
  </si>
  <si>
    <t>2.10</t>
  </si>
  <si>
    <t>Armadura em barra de aço CA-50 (A ou B) fyk= 500 Mpa - Blocos de coroamento</t>
  </si>
  <si>
    <t>2.11</t>
  </si>
  <si>
    <t>Armadura em barra de aço CA-60 (A ou B) fyk= 600 Mpa - Blocos de coroamento</t>
  </si>
  <si>
    <t>2.12</t>
  </si>
  <si>
    <t>11.18.040</t>
  </si>
  <si>
    <t>Lastro de pedra britada</t>
  </si>
  <si>
    <t>2.13</t>
  </si>
  <si>
    <t>32.17.030</t>
  </si>
  <si>
    <t>Impermeabilização em argamassa polimérica para ume e água de percolação - baldr.</t>
  </si>
  <si>
    <t>2.14</t>
  </si>
  <si>
    <t>32.17.010</t>
  </si>
  <si>
    <t>Impermeabilização em argamassa impermeável com aditivo hidrófugo</t>
  </si>
  <si>
    <t>2.15</t>
  </si>
  <si>
    <t>09.01.020</t>
  </si>
  <si>
    <t>Forma comum para fundaçao</t>
  </si>
  <si>
    <t>Subtotal item 2</t>
  </si>
  <si>
    <t>Supraestrutura</t>
  </si>
  <si>
    <t>Concreto usinado, fck = 25,0 MPa - para bombeamento - Concreto armado p/ pilares</t>
  </si>
  <si>
    <t>3.2</t>
  </si>
  <si>
    <t>Armadura em barra de aço CA-50 (A ou B) fyk= 500 Mpa - Pilares</t>
  </si>
  <si>
    <t>3.3</t>
  </si>
  <si>
    <t>Armadura em barra de aço CA-60 (A ou B) fyk= 600 Mpa - Pilares</t>
  </si>
  <si>
    <t>3.4</t>
  </si>
  <si>
    <t>Lançamento e adensamento de concreto ou massa em fundação - pilares</t>
  </si>
  <si>
    <t>3.5</t>
  </si>
  <si>
    <t>Concreto usinado, fck = 25,0 MPa - para bombeamento - Conc. Arm. p/ vigas de respaldo e escada</t>
  </si>
  <si>
    <t>3.6</t>
  </si>
  <si>
    <t>Armadura em barra de aço CA-50 (A ou B) fyk= 500 Mpa - Vigas</t>
  </si>
  <si>
    <t>3.7</t>
  </si>
  <si>
    <t>Armadura em barra de aço CA-60 (A ou B) fyk= 600 Mpa - Vigas</t>
  </si>
  <si>
    <t>3.8</t>
  </si>
  <si>
    <t>11.16.060</t>
  </si>
  <si>
    <t>Lançamento e adensamento de concreto ou massa em estrutura - vigas e escada</t>
  </si>
  <si>
    <t>3.9</t>
  </si>
  <si>
    <t>14.20.010</t>
  </si>
  <si>
    <t>Vergas, contravergas e pilaretes de concreto armado</t>
  </si>
  <si>
    <t>3.10</t>
  </si>
  <si>
    <t>3.11</t>
  </si>
  <si>
    <t>3.12</t>
  </si>
  <si>
    <t>11.01.260</t>
  </si>
  <si>
    <t xml:space="preserve">Concreto usinado, fck = 20,0 MPa - para bombeamento - Contrapiso </t>
  </si>
  <si>
    <t>3.13</t>
  </si>
  <si>
    <t xml:space="preserve">Forma em madeira comum para estrutura </t>
  </si>
  <si>
    <t>3.14</t>
  </si>
  <si>
    <t>08.02.020</t>
  </si>
  <si>
    <t>Cimbramento em madeira com estroncas de eucalipto</t>
  </si>
  <si>
    <t>Alvenaria</t>
  </si>
  <si>
    <t>14.01.020</t>
  </si>
  <si>
    <t>Alvenaria de embasamento em tijolo maciço comum</t>
  </si>
  <si>
    <t>14.04.220</t>
  </si>
  <si>
    <t>Alvenaria de bloco cerâmico de vedação, uso revestido, de 19 cm</t>
  </si>
  <si>
    <t>4.3</t>
  </si>
  <si>
    <t>32.16.010</t>
  </si>
  <si>
    <t>Impermeabilização em pintura de asfalto oxidado com solventes orgânicos, sobre massa - Embasamento</t>
  </si>
  <si>
    <t>Subtotal item 4</t>
  </si>
  <si>
    <t>Cobertura</t>
  </si>
  <si>
    <t>16.02.010</t>
  </si>
  <si>
    <t>Telha de barro tipo italiana</t>
  </si>
  <si>
    <t>16.02.230</t>
  </si>
  <si>
    <t>Cumeeira de barro emboçado tipos: plan, romana, italiana, francesa e paulistinha</t>
  </si>
  <si>
    <t>Subtotal item 5</t>
  </si>
  <si>
    <t>Forro</t>
  </si>
  <si>
    <t>22.01.020</t>
  </si>
  <si>
    <t>Forro em tábuas aparelhadas macho e fêmea de pinus tarugado</t>
  </si>
  <si>
    <t>32.06.151</t>
  </si>
  <si>
    <t>Lâmina refletiva revestida com dupla face em alumínio, dupla malha de reforço e laminação entre camadas, para isolação térmica</t>
  </si>
  <si>
    <t>Subtotal item 6</t>
  </si>
  <si>
    <t>Revestimento</t>
  </si>
  <si>
    <t>7.1</t>
  </si>
  <si>
    <t>17.02.120</t>
  </si>
  <si>
    <t xml:space="preserve">Emboço comum </t>
  </si>
  <si>
    <t>7.2</t>
  </si>
  <si>
    <t>17.02.020</t>
  </si>
  <si>
    <t>Chapisco</t>
  </si>
  <si>
    <t>7.3</t>
  </si>
  <si>
    <t>18.11.042</t>
  </si>
  <si>
    <t>Revestimento em placa cerâmica esmaltada de 20x20 cm, tipo monocolor, assentado e rejuntado com argamassa industrializada</t>
  </si>
  <si>
    <t>7.4</t>
  </si>
  <si>
    <t>18.05.020</t>
  </si>
  <si>
    <t>Revestimento em plaqueta laminada, para área interna e externa, sem rejunte</t>
  </si>
  <si>
    <t>7.5</t>
  </si>
  <si>
    <t>18.06.430</t>
  </si>
  <si>
    <t>Rejuntamento em placas cerâmicas com argamassa industrializada para rejunte, juntas acima de 3 até 5 mm</t>
  </si>
  <si>
    <t xml:space="preserve"> </t>
  </si>
  <si>
    <t>Piso Interno</t>
  </si>
  <si>
    <t>8.1</t>
  </si>
  <si>
    <t>18.06.182</t>
  </si>
  <si>
    <t>Placa cerâmica esmaltada rústica PEI-5 para área interna com saída para o exterior, grupo de absorção BIIb, resistência química B, assentado com argamassa industrializada</t>
  </si>
  <si>
    <t>8.2</t>
  </si>
  <si>
    <t>18.06.410</t>
  </si>
  <si>
    <t>Piso Externo</t>
  </si>
  <si>
    <t>9.2</t>
  </si>
  <si>
    <t>54.04.342</t>
  </si>
  <si>
    <t>Pavimentação em lajota de concreto 35 MPa, espessura 6 cm, colorido, tipos: raquete, retangular, sextavado e 16 faces, com rejunte em areia</t>
  </si>
  <si>
    <t>Aberturas</t>
  </si>
  <si>
    <t>10.1</t>
  </si>
  <si>
    <t>25.02.050</t>
  </si>
  <si>
    <t>Porta veneziana de abrir em alumínio, linha comercial</t>
  </si>
  <si>
    <t>10.2</t>
  </si>
  <si>
    <t>10.3</t>
  </si>
  <si>
    <t>25.01.030</t>
  </si>
  <si>
    <t>Caixilho em alumínio basculante com vidro, linha comercial</t>
  </si>
  <si>
    <t>Subtotal item 10</t>
  </si>
  <si>
    <t>11.1</t>
  </si>
  <si>
    <t>11.2</t>
  </si>
  <si>
    <t>33.10.030</t>
  </si>
  <si>
    <t>Tinta acrílica antimofo em massa, inclusive preparo</t>
  </si>
  <si>
    <t>11.3</t>
  </si>
  <si>
    <t>Verniz em superfície de madeira</t>
  </si>
  <si>
    <t>Subtotal item 11</t>
  </si>
  <si>
    <t>Louças, Metais, corrimão e acabamentos</t>
  </si>
  <si>
    <t>12.1</t>
  </si>
  <si>
    <t>44.03.050</t>
  </si>
  <si>
    <t>Dispenser papel higiênico em ABS para rolão 300 / 600 m, com visor</t>
  </si>
  <si>
    <t>12.2</t>
  </si>
  <si>
    <t>44.03.180</t>
  </si>
  <si>
    <t>Dispenser toalheiro em ABS, para folhas</t>
  </si>
  <si>
    <t>12.3</t>
  </si>
  <si>
    <t>26.04.010</t>
  </si>
  <si>
    <t>Espelho em vidro cristal liso, espessura de 4 mm, colocado sobre a parede</t>
  </si>
  <si>
    <t>12.4</t>
  </si>
  <si>
    <t>44.03.130</t>
  </si>
  <si>
    <t>Saboneteira tipo dispenser, para refil de 800 ml</t>
  </si>
  <si>
    <t>12.5</t>
  </si>
  <si>
    <t>44.01.800</t>
  </si>
  <si>
    <t>Bacia sifonada com caixa de descarga acoplada sem tampa - 6 litros</t>
  </si>
  <si>
    <t>12.6</t>
  </si>
  <si>
    <t>44.20.280</t>
  </si>
  <si>
    <t>Tampa de plástico para bacia sanitária</t>
  </si>
  <si>
    <t>12.7</t>
  </si>
  <si>
    <t>Peitoril e/ou soleira em granito, espesde 2 cm e largura de 21 cm até 30 cm,  polido</t>
  </si>
  <si>
    <t>12.8</t>
  </si>
  <si>
    <t>44.01.270</t>
  </si>
  <si>
    <t>Cuba de louça de embutir oval - WC comuns</t>
  </si>
  <si>
    <t>12.9</t>
  </si>
  <si>
    <t>44.02.062</t>
  </si>
  <si>
    <t>Tampo/bancada em granito, com frontão, espessura de 2 cm, acabamento polido</t>
  </si>
  <si>
    <t>12.10</t>
  </si>
  <si>
    <t>44.03.480</t>
  </si>
  <si>
    <t>Torneira de mesa para lavatório compacta, acionamento hidromecânico, em latão cromado, DN= 1/2´ - Torneiras para lavatórios</t>
  </si>
  <si>
    <t>12.11</t>
  </si>
  <si>
    <t>30.06.080</t>
  </si>
  <si>
    <t>Placa de identificação em alumínio para WC, com desenho universal de acessibilidade</t>
  </si>
  <si>
    <t>12.12</t>
  </si>
  <si>
    <t>44.03.590</t>
  </si>
  <si>
    <t>Torneira de mesa para pia com bica móvel e arejador em latão fundido cromado-lavat.</t>
  </si>
  <si>
    <t>12.13</t>
  </si>
  <si>
    <t>44.06.300</t>
  </si>
  <si>
    <t>Cuba em aço inoxidável simples de 400x340x140mm</t>
  </si>
  <si>
    <t>12.14</t>
  </si>
  <si>
    <t>44.03.400</t>
  </si>
  <si>
    <t>Torneira curta com rosca para uso geral, em latão fundido cromado, DN= 3/4´- atend.</t>
  </si>
  <si>
    <t>12.15</t>
  </si>
  <si>
    <t>Estrado em madeira - corrimão de madeira</t>
  </si>
  <si>
    <t>12.16</t>
  </si>
  <si>
    <t>Subtotal item 12</t>
  </si>
  <si>
    <t>Instalação Elétrica e Telefônica</t>
  </si>
  <si>
    <t>13.1</t>
  </si>
  <si>
    <t>37.03.200</t>
  </si>
  <si>
    <t>Quadro de distribuição universal de embutir, para disjuntores 16 DIN / 12 Bolt-on - 150 A - sem componentes</t>
  </si>
  <si>
    <t>13.2</t>
  </si>
  <si>
    <t>37.13.640</t>
  </si>
  <si>
    <t>Disjuntor termomagnético, bipolar 220/380 V, corrente de 60 A até 100 A</t>
  </si>
  <si>
    <t>13.3</t>
  </si>
  <si>
    <t>37.13.630</t>
  </si>
  <si>
    <t>Disjuntor termomagnético, bipolar 220/380 V, corrente de 10 A até 50 A</t>
  </si>
  <si>
    <t>13.4</t>
  </si>
  <si>
    <t>38.19.030</t>
  </si>
  <si>
    <t>Eletroduto de PVC corrugado flexível leve, diâmetro externo de 25 mm</t>
  </si>
  <si>
    <t>13.5</t>
  </si>
  <si>
    <t>13.6</t>
  </si>
  <si>
    <t>39.21.030</t>
  </si>
  <si>
    <t>Cabo de cobre flexível de 4 mm², isolamento 0,6/1kV - isolação HEPR 90°C</t>
  </si>
  <si>
    <t>13.7</t>
  </si>
  <si>
    <t>13.8</t>
  </si>
  <si>
    <t>39.26.010</t>
  </si>
  <si>
    <t>Cabo de cobre flexível de 1,5 mm², isolamento 0,6/1 kV - isolação HEPR 90°C - baixa emissão de fumaça e gases</t>
  </si>
  <si>
    <t>13.9</t>
  </si>
  <si>
    <t>40.07.010</t>
  </si>
  <si>
    <t>Caixa em PVC de 4´ x 2´</t>
  </si>
  <si>
    <t>13.10</t>
  </si>
  <si>
    <t>40.07.040</t>
  </si>
  <si>
    <t>Caixa em PVC octogonal de 4´ x 4´</t>
  </si>
  <si>
    <t>13.11</t>
  </si>
  <si>
    <t>40.05.100</t>
  </si>
  <si>
    <t>cj.</t>
  </si>
  <si>
    <t>13.12</t>
  </si>
  <si>
    <t>Tomada 2P+T de 10 A - 250 V, completa</t>
  </si>
  <si>
    <t>13.13</t>
  </si>
  <si>
    <t>37.10.010</t>
  </si>
  <si>
    <t>Barramento de cobre nu</t>
  </si>
  <si>
    <t>13.14</t>
  </si>
  <si>
    <t>39.11.090</t>
  </si>
  <si>
    <t>Fio telefônico tipo FI-60, para ligação de aparelhos telefônicos</t>
  </si>
  <si>
    <t>13.15</t>
  </si>
  <si>
    <t>41.31.070</t>
  </si>
  <si>
    <t>Luminária LED quadrada de sobrepor com difusor prismático translúcido, 4000 K, fluxo luminoso de 1363 a 1800 lm, potência de 15 a 24 W</t>
  </si>
  <si>
    <t>13.16</t>
  </si>
  <si>
    <t>Subtotal item 13</t>
  </si>
  <si>
    <t>Instalação Hidrosanitária</t>
  </si>
  <si>
    <t>14.2</t>
  </si>
  <si>
    <t>46.01.020</t>
  </si>
  <si>
    <t>Tubo de PVC rígido soldável marrom, DN= 25 mm, (3/4´), inclusive conexões</t>
  </si>
  <si>
    <t>14.3</t>
  </si>
  <si>
    <t>46.01.040</t>
  </si>
  <si>
    <t>Tubo de PVC rígido soldável marrom, DN= 40 mm, (1 1/4´), inclusive conexões</t>
  </si>
  <si>
    <t>14.4</t>
  </si>
  <si>
    <t>46.02.010</t>
  </si>
  <si>
    <t>Tubo de PVC rígido branco, pontas lisas, soldável, linha esgoto série normal, DN= 40 mm, inclusive conexões</t>
  </si>
  <si>
    <t>14.5</t>
  </si>
  <si>
    <t>46.02.070</t>
  </si>
  <si>
    <t>Tubo de PVC rígido branco PxB com virola e anel de borracha, linha esgoto série normal, DN= 100 mm, inclusive conexões</t>
  </si>
  <si>
    <t>14.6</t>
  </si>
  <si>
    <t>49.01.020</t>
  </si>
  <si>
    <t>Caixa sifonada de PVC rígido de 100 x 150 x 50 mm, com grelha</t>
  </si>
  <si>
    <t>14.7</t>
  </si>
  <si>
    <t>49.03.020</t>
  </si>
  <si>
    <t>Caixa de gordura em alvenaria, 60 x 60 x 60 cm</t>
  </si>
  <si>
    <t>14.8</t>
  </si>
  <si>
    <t>47.02.020</t>
  </si>
  <si>
    <t>Registro de gaveta em latão fundido cromado com canopla, DN= 3/4´ - linha especial</t>
  </si>
  <si>
    <t>14.9</t>
  </si>
  <si>
    <t>47.02.040</t>
  </si>
  <si>
    <t>Registro de gaveta em latão fundido cromado com canopla, DN= 1 1/4´ - linha especial</t>
  </si>
  <si>
    <t>Subtotal item 14</t>
  </si>
  <si>
    <t>Incêndio e Sinalização</t>
  </si>
  <si>
    <t>15.1</t>
  </si>
  <si>
    <t>50.10.100</t>
  </si>
  <si>
    <t>Extintor manual de água pressurizada - capacidade de 10 litros</t>
  </si>
  <si>
    <t>15.2</t>
  </si>
  <si>
    <t>50.10.110</t>
  </si>
  <si>
    <t>Extintor manual de pó químico seco ABC - capacidade de 4 kg</t>
  </si>
  <si>
    <t>15.3</t>
  </si>
  <si>
    <t>50.05.260</t>
  </si>
  <si>
    <t>Bloco autônomo de iluminação de emergência com autonomia mínima de 1 hora, equipado com 2 lâmpadas de 11 W</t>
  </si>
  <si>
    <t>15.4</t>
  </si>
  <si>
    <t>Placa de sinalização em PVC fotoluminescente (150x150mm), com indicação de equipamentos de combate à incêndio e alarme</t>
  </si>
  <si>
    <t>Subtotal item 15</t>
  </si>
  <si>
    <t>Limpeza</t>
  </si>
  <si>
    <t>55.01.020</t>
  </si>
  <si>
    <t>Limpeza geral da obra</t>
  </si>
  <si>
    <t>Construção de um posto de Salva – Vidas para atendimento de Primeiros
Socorros próximo da orla do lago com torre da praia pública.</t>
  </si>
  <si>
    <t>C</t>
  </si>
  <si>
    <t>02.08.020</t>
  </si>
  <si>
    <t>Placa de identificação para obra</t>
  </si>
  <si>
    <t>1.5</t>
  </si>
  <si>
    <t>12.12.010</t>
  </si>
  <si>
    <t>Taxa de mobilização e desmobilização de equipamentos para execução de estaca tipo hélice contínua em solo</t>
  </si>
  <si>
    <t>tx</t>
  </si>
  <si>
    <t>Concreto usinado, fck = 25,0 MPa - para bombeamento - Viga Baldrame</t>
  </si>
  <si>
    <t>2.7</t>
  </si>
  <si>
    <t>2.16</t>
  </si>
  <si>
    <t>Concreto usinado, fck = 25,0 MPa - para bombeamento - Conc. Arm. p/ vigas de respaldo</t>
  </si>
  <si>
    <t>Lançamento e adensamento de concreto ou massa em estrutura</t>
  </si>
  <si>
    <t>16.12.060</t>
  </si>
  <si>
    <t>Telhamento em chapa de aço pré-pintada com epóxi e poliéster, perfil trapezoidal,</t>
  </si>
  <si>
    <t>16.33.052</t>
  </si>
  <si>
    <t>Calha, rufo, afins em chapa galvanizada nº 24 - corte 0,50 m - Calhas</t>
  </si>
  <si>
    <t>5.7</t>
  </si>
  <si>
    <t>16.33.022</t>
  </si>
  <si>
    <t>Calha, rufo, afins em chapa galvanizada nº 24 - corte 0,33 m - Rufos</t>
  </si>
  <si>
    <t>22.20.050</t>
  </si>
  <si>
    <t>Moldura de gesso simples, largura até 6,0 cm</t>
  </si>
  <si>
    <t>22.02.030</t>
  </si>
  <si>
    <t>Forro em painéis de gesso acartonado, espessura 
de 12,5 mm, fixo  - rebaixo sobre balcões - sanitários e fraldário</t>
  </si>
  <si>
    <t>18.11.052</t>
  </si>
  <si>
    <t>Revestimento em placa cerâmica esmaltada, tipo monoporosa, retangular, assentado e rejuntado com argamassa industrializada - Sanitário e Atendimento</t>
  </si>
  <si>
    <t>18.08.032</t>
  </si>
  <si>
    <t>8.7</t>
  </si>
  <si>
    <t>9.1</t>
  </si>
  <si>
    <t>23.13.052</t>
  </si>
  <si>
    <t>Porta lisa de madeira, interna, resistente a umidade "PIM RU", para acabamento em pintura, tipo acessível, padrão dimensional médio/pesado, com ferragens, completo - 90 x 210 cm - Portas acessiveis (sanitário c/ acessibilidade)</t>
  </si>
  <si>
    <t>23.04.110</t>
  </si>
  <si>
    <t>Porta em laminado fenólico melamínico com acabamento liso, batente de madeira sem revestimento - 90 x 210 cm</t>
  </si>
  <si>
    <t>10.4</t>
  </si>
  <si>
    <t>28.01.040</t>
  </si>
  <si>
    <t>Ferragem completa com maçaneta tipo alavanca para porta interna com 1 folha</t>
  </si>
  <si>
    <t>10.5</t>
  </si>
  <si>
    <t>23.04.080</t>
  </si>
  <si>
    <t>Porta em laminado fenólico melamínico com batente em alumínio - 60 x 160 cm</t>
  </si>
  <si>
    <t>10.6</t>
  </si>
  <si>
    <t>28.01.070</t>
  </si>
  <si>
    <t>Ferragem completa para porta de box de WC tipo livre/ocupado</t>
  </si>
  <si>
    <t>25.01.060</t>
  </si>
  <si>
    <t>Caixilho em alumínio maxim-ar, sob medida</t>
  </si>
  <si>
    <t>33.12.011</t>
  </si>
  <si>
    <t>Esmalte à base de água em madeira, inclusive preparo - Portas</t>
  </si>
  <si>
    <t>Louças, Metais, Acabamentos e divisórias</t>
  </si>
  <si>
    <t>30.08.060</t>
  </si>
  <si>
    <t>Bacia sifonada de louça para pessoas com mobilidade reduzida - 6 litros</t>
  </si>
  <si>
    <t>Revestimento em chapa de aço inoxidável para proteção de portas, altura de 40 cm</t>
  </si>
  <si>
    <t>30.01.120</t>
  </si>
  <si>
    <t>Barra de apoio reta, para pessoas com mobilidade reduzida, em tubo de aço inoxidável de 1 1/4´ x 400 mm</t>
  </si>
  <si>
    <t>30.01.030</t>
  </si>
  <si>
    <t>Barra de apoio reta, para pessoas com mobilidade reduzida, em tubo de aço inoxidável de 1 1/2´ x 800 mm</t>
  </si>
  <si>
    <t>44.03.720</t>
  </si>
  <si>
    <t>Torneira de mesa para lavatório, acionamento hidromecânico com alavanca, registro integrado regulador de vazão, em latão cromado, DN= 1/2´ - Sanitário P.N.E.</t>
  </si>
  <si>
    <t>Bacia sifonada de louça sem tampa - 6 litros</t>
  </si>
  <si>
    <t>44.01.200</t>
  </si>
  <si>
    <t>Mictório de louça sifonado auto aspirante</t>
  </si>
  <si>
    <t>30.08.040</t>
  </si>
  <si>
    <t>Lavatório de louça para canto sem coluna para pessoas com mobilidade reduzida - Lavatório (cubas para acessibilidade)</t>
  </si>
  <si>
    <t>12.17</t>
  </si>
  <si>
    <t>12.18</t>
  </si>
  <si>
    <t>12.19</t>
  </si>
  <si>
    <t>12.20</t>
  </si>
  <si>
    <t>Torneira de mesa para pia com bica móvel e arejador em latão fundido cromado</t>
  </si>
  <si>
    <t>12.21</t>
  </si>
  <si>
    <t>44.06.320</t>
  </si>
  <si>
    <t>Cuba em aço inoxidável simples de 560x330x140mm</t>
  </si>
  <si>
    <t>12.22</t>
  </si>
  <si>
    <t>44.01.310</t>
  </si>
  <si>
    <t>Tanque de louça com coluna de 30 litros</t>
  </si>
  <si>
    <t>12.23</t>
  </si>
  <si>
    <t>Torneira curta com rosca para uso geral, em latão fundido cromado, DN= 3/4´</t>
  </si>
  <si>
    <t>12.24</t>
  </si>
  <si>
    <t>14.30.010</t>
  </si>
  <si>
    <t>Divisória em placas de granito com espessura de 3 cm</t>
  </si>
  <si>
    <t>41.15.170</t>
  </si>
  <si>
    <t>Luminária redonda de embutir, com foco orientável e acessório antiofuscante, para 1 lâmpada dicroica de 50 W</t>
  </si>
  <si>
    <t>41.14.670</t>
  </si>
  <si>
    <t>Luminária triangular de sobrepor tipo arandela para fluorescente compacta de 15/20/23W</t>
  </si>
  <si>
    <t>41.02.580</t>
  </si>
  <si>
    <t>Lâmpada LED 13,5W, com base E-27, 1400 até 1510lm</t>
  </si>
  <si>
    <t>39.26.020</t>
  </si>
  <si>
    <t>Cabo de cobre flexível de 2,5 mm², isolamento 0,6/1 kV - isolação HEPR 90°C - baixa emissão de fumaça e gases</t>
  </si>
  <si>
    <t>39.29.112</t>
  </si>
  <si>
    <t>Cabo de cobre flexível de 4 mm², isolamento 750 V - isolação LSHF/A 70°C - baixa emissão de fumaça e gases</t>
  </si>
  <si>
    <t>39.26.060</t>
  </si>
  <si>
    <t>Cabo de cobre flexível de 16 mm², isolamento 0,6/1 kV - isolação HEPR 90°C - baixa emissão de fumaça e gases</t>
  </si>
  <si>
    <t>40.07.020</t>
  </si>
  <si>
    <t>Caixa em PVC de 4´ x 4´</t>
  </si>
  <si>
    <t>13.17</t>
  </si>
  <si>
    <t>40.05.040</t>
  </si>
  <si>
    <t>Interruptor com 2 teclas simples e placa</t>
  </si>
  <si>
    <t>13.18</t>
  </si>
  <si>
    <t>40.05.060</t>
  </si>
  <si>
    <t>Interruptor com 3 teclas simples e placa</t>
  </si>
  <si>
    <t>13.19</t>
  </si>
  <si>
    <t>40.04.450</t>
  </si>
  <si>
    <t>13.20</t>
  </si>
  <si>
    <t>40.04.460</t>
  </si>
  <si>
    <t>Tomada 2P+T de 20 A - 250 V, completa</t>
  </si>
  <si>
    <t>13.21</t>
  </si>
  <si>
    <t>13.22</t>
  </si>
  <si>
    <t>14.1</t>
  </si>
  <si>
    <t>48.02.400</t>
  </si>
  <si>
    <t>Reservatório em polietileno com tampa de rosca - capacidade de 1.000 litros</t>
  </si>
  <si>
    <t>46.01.030</t>
  </si>
  <si>
    <t>Tubo de PVC rígido soldável marrom, DN= 32 mm, (1´), inclusive conexões</t>
  </si>
  <si>
    <t>46.01.050</t>
  </si>
  <si>
    <t>Tubo de PVC rígido soldável marrom, DN= 50 mm, (1 1/2´), inclusive conexões</t>
  </si>
  <si>
    <t>46.02.050</t>
  </si>
  <si>
    <t>Tubo de PVC rígido branco PxB com virola e anel de borracha, linha esgoto série normal, DN= 50 mm, inclusive conexões</t>
  </si>
  <si>
    <t>14.10</t>
  </si>
  <si>
    <t>14.11</t>
  </si>
  <si>
    <t>Caixa de gordura em alvenaria, 60 x 60 x 60 cm (caixa de inspeção e passagem)</t>
  </si>
  <si>
    <t>14.12</t>
  </si>
  <si>
    <t>48.05.010</t>
  </si>
  <si>
    <t>Torneira de boia, DN= 3/4´</t>
  </si>
  <si>
    <t>14.13</t>
  </si>
  <si>
    <t>14.14</t>
  </si>
  <si>
    <t>14.15</t>
  </si>
  <si>
    <t>47.04.030</t>
  </si>
  <si>
    <t>Válvula de descarga com registro próprio, DN= 1 1/4´</t>
  </si>
  <si>
    <t>14.16</t>
  </si>
  <si>
    <t>15.5</t>
  </si>
  <si>
    <t>30.04.100</t>
  </si>
  <si>
    <t>Piso tátil de concreto, alerta / direcional, intertravado, espessura de 6 cm, com rejunte em areia</t>
  </si>
  <si>
    <t>15.6</t>
  </si>
  <si>
    <t>30.04.020</t>
  </si>
  <si>
    <t>Revestimento em borracha sintética colorida de 5,0 mm, para sinalização tátil de alerta / direcional - colado</t>
  </si>
  <si>
    <t>15.7</t>
  </si>
  <si>
    <t>30.06.061</t>
  </si>
  <si>
    <t>Sistema de alarme PNE com indicador audiovisual, para pessoas com mobilidade reduzida ou cadeirante</t>
  </si>
  <si>
    <t>16.1</t>
  </si>
  <si>
    <t>Subtotal item 16</t>
  </si>
  <si>
    <t>Total do Item A</t>
  </si>
  <si>
    <t>Total Item C</t>
  </si>
  <si>
    <t>TOTAL GERAL DO OBJETO</t>
  </si>
  <si>
    <t>Total Item B</t>
  </si>
  <si>
    <t>Lançamento e adensamento de concreto ou massa em estrutura - Viga Baldrame</t>
  </si>
  <si>
    <t>Alvenaria de bloco cerâmico de vedação, uso revestido, de 14 cm</t>
  </si>
  <si>
    <t>14.04.210</t>
  </si>
  <si>
    <t>Revestimento em porcelanato esmaltado antiderrapante para área externa e ambiente com alto tráfego, grupo de absorção BIa, assentado com argamassa colante industrializada, rejuntado- chuveiros</t>
  </si>
  <si>
    <t>Revestimento em porcelanato esmaltado acetinado para área interna e ambiente com acesso ao exterior, grupo de absorção BIa, resistência química B, assentado com argamassa colante industrializada, rejuntado</t>
  </si>
  <si>
    <t>18.08.090</t>
  </si>
  <si>
    <t>Rodapé em porcelanato esmaltado acetinado para área interna e ambiente com acesso ao exterior, grupo de absorção BIa, resistência química B, assentado com argamassa colante industrializada, rejuntado</t>
  </si>
  <si>
    <t>18.08.100</t>
  </si>
  <si>
    <t>Chuveiro com jato regulável em metal com acabamento cromado</t>
  </si>
  <si>
    <t>43.02.100</t>
  </si>
  <si>
    <t>Registro de pressão em latão fund. cromado com canopla, DN= 3/4´- linha especial</t>
  </si>
  <si>
    <t>47.02.110</t>
  </si>
  <si>
    <t>14.17</t>
  </si>
  <si>
    <t>14.18</t>
  </si>
  <si>
    <t>Ralo seco em ferro fundido, 100 x 165 x 50 mm, com grelha metálica saída vertical</t>
  </si>
  <si>
    <t>49.05.020</t>
  </si>
  <si>
    <t>Peitoril e/ou soleira em granito, espessura de 2 cm e largura até 20 cm, acabamento polido</t>
  </si>
  <si>
    <t>19.01.062</t>
  </si>
  <si>
    <t>MEMÓRIA DE CÁLCULO</t>
  </si>
  <si>
    <t>(3*1,5)+(1,5*1) = 6,00 m²</t>
  </si>
  <si>
    <t>160,50*0,20 = 32,10m³</t>
  </si>
  <si>
    <t>28*9= 252,00m</t>
  </si>
  <si>
    <t>0,049*9*28=12,35m³</t>
  </si>
  <si>
    <t>0,2*0,3*78,32= 4,70m³</t>
  </si>
  <si>
    <t>4,70*80*0,8=300,75kg</t>
  </si>
  <si>
    <t>4,70*80*0,2=75,19kg</t>
  </si>
  <si>
    <t>(0,5*0,5*0,5*25)+(1,40*0,50*0,50*2)=3,83m³</t>
  </si>
  <si>
    <t>3,83*80*0,8=245,12Kg</t>
  </si>
  <si>
    <t>3,83*80*0,20=61,28kg</t>
  </si>
  <si>
    <t>(0,2*78,32*0,03)+(0,5*0,5*25*0,03)+(1,4*0,5*2*0,03)= 0,70</t>
  </si>
  <si>
    <t>(0,5*0,5*4)*14=14,00m²</t>
  </si>
  <si>
    <t>62,66*0,015=0,94</t>
  </si>
  <si>
    <t>78,32*0,8= 62,66m²</t>
  </si>
  <si>
    <t>(0,15*0,25*3*22)+(0,15*0,25*3*4)= 2,93m³</t>
  </si>
  <si>
    <t>0,15*0,3*65,32=2,94m³</t>
  </si>
  <si>
    <t>43,42*0,2*0,15= 1,30m³</t>
  </si>
  <si>
    <t>98,61*0,05=4,93m³</t>
  </si>
  <si>
    <t>(0,25*2*65,32)+(0,25*2*3*28)=74,66m²</t>
  </si>
  <si>
    <t>2,93+2,94+4,93=10,79m³</t>
  </si>
  <si>
    <t>(78,32*0,15*0,2)*1,3=3,05m³</t>
  </si>
  <si>
    <t>75,21*2,6=195,55m²</t>
  </si>
  <si>
    <t>18,88*2,5=47,20m²</t>
  </si>
  <si>
    <t>122,94*1,077= 132,41m²</t>
  </si>
  <si>
    <t>122,94*1,077=132,41m²</t>
  </si>
  <si>
    <t>(6,82*2)+3,13= 16,77m</t>
  </si>
  <si>
    <t>4,38*2=8,76m</t>
  </si>
  <si>
    <t>4,64+4,4+4,6+4,62+14,2+9,28+5,1=46,84m</t>
  </si>
  <si>
    <t>(30,65*2)+12,86= 74,16m</t>
  </si>
  <si>
    <t>(4,50*0,60*2)+(2,00*0,60*2)+(3,20*0,60)+(2,55*0,60)= 11,25m²</t>
  </si>
  <si>
    <t>(75,21*2*3)+(18,9*2,8)+(140,61)= 644,79m²</t>
  </si>
  <si>
    <t>89,11*2= 178,22m²</t>
  </si>
  <si>
    <t>49,15*1=49,15m²</t>
  </si>
  <si>
    <t>(10,35+11,95)+(3,54*2)+(36,38*2)= 102,14m²</t>
  </si>
  <si>
    <t>(1,70*2)+(3,85*2)+(2,20*2) = 15,50m</t>
  </si>
  <si>
    <t>8,24*1=8,24m²</t>
  </si>
  <si>
    <t>PARA ACESSO AOS  2 SANITÁRIOS</t>
  </si>
  <si>
    <t>PARA AS 2 PORTAS DOS SANITÁRIOS</t>
  </si>
  <si>
    <t>PARA OS 15 BOXES DE SANIT.</t>
  </si>
  <si>
    <t>644,79-178,22-49,15=417,42m²</t>
  </si>
  <si>
    <t>0,9*2,1*2=3,78m²</t>
  </si>
  <si>
    <t>0,90*2=1,80m</t>
  </si>
  <si>
    <t>PARA OS 2 SANITÁRIOS ACESSÍVEIS</t>
  </si>
  <si>
    <t>6 PARA OS SANIT. COMUNS/2 PARA OS ACESS. E DOIS PARA O FRALDÁRIO</t>
  </si>
  <si>
    <t>(0,5*0,8*4)+(6*0,8*2)=11,20m²</t>
  </si>
  <si>
    <t>PARA OS 15 BOXES DOS SANITÁRIOS COMUNS</t>
  </si>
  <si>
    <t>PARA AS 15 BACIAS  DOS SANITÁRIOS COMUNS</t>
  </si>
  <si>
    <t>PARA O SANITÁRIO MASCULINO</t>
  </si>
  <si>
    <t>PARA OS SANITÁRIOS MASC. E FEMININO</t>
  </si>
  <si>
    <t>(3,68*2)+4,07=11,43m²</t>
  </si>
  <si>
    <t>PARA O FRALDÁRIO</t>
  </si>
  <si>
    <t>PARA USO EXTERNO</t>
  </si>
  <si>
    <t>(1,3*2*14)+(0,5*2*7)+(0,45*0,8*3)=44,48m²</t>
  </si>
  <si>
    <t>PARA OS SANITÁRIOS MASC. E FEMIN, ACESSIVEIS E FRALDÁRIO</t>
  </si>
  <si>
    <t>PARA OS REBAIXOS DE GESSO SOBRE OS LAVATÓRIOS E FRALDÁRIO</t>
  </si>
  <si>
    <t>PARA USO EXTERNO NAS PAREDES CEGAS</t>
  </si>
  <si>
    <t>PARA AS ARANDELAS</t>
  </si>
  <si>
    <t>12,00*2=24,00m</t>
  </si>
  <si>
    <t>60*2=120,00m</t>
  </si>
  <si>
    <t>(120*2)+ (120*3)=600,00m</t>
  </si>
  <si>
    <t>15*3= 45,00m</t>
  </si>
  <si>
    <t>PARA TOMADAS E INTERRUPTORES E ARANDELAS</t>
  </si>
  <si>
    <t>PARA CAIXAS DE PASSAGENS NO TETO</t>
  </si>
  <si>
    <t>PARA OS SANITÁRIOS  MASC. E FEMIN.</t>
  </si>
  <si>
    <t>PARA ÁREA DE ACESSO E HALL</t>
  </si>
  <si>
    <t>2 RESERVATÓRIOS PARA ATENDER OS SANITÁRIOS E FRALDÁRIO</t>
  </si>
  <si>
    <t>6,4+11+8= 25,40m</t>
  </si>
  <si>
    <t>(2,5*2)+(5,5*2)+3+4,5=23,50m</t>
  </si>
  <si>
    <t>(10+4,8+4,8+4+3)=26,60m</t>
  </si>
  <si>
    <t>(1,4*15)+7,2+6,4+15+9,9=59,50m</t>
  </si>
  <si>
    <t>PARA CAIXAS DE INSPEÇÃO EXTERNA</t>
  </si>
  <si>
    <t>1 PARA CADA RESERVATÓRIO</t>
  </si>
  <si>
    <t>PARA CONTROLE DOS RAMAIS DE ALIMENTAÇÃO DOS LAVATÓRIOS DOS SANITÁRIOS COMUNS, PNE E FRALDÁRIO</t>
  </si>
  <si>
    <t>PARA CONTROLE DOS RAMAIS DE DISTRIBUIÇÃO SOBRE A LAJE</t>
  </si>
  <si>
    <t>PARA ACIONAMENTO DOS SANITARIOS DOS BOXES</t>
  </si>
  <si>
    <t>PARA CHUVEIROS</t>
  </si>
  <si>
    <t>PARA CONTROLE DO RAMAL SAÍDA DOS RESERVATÓRIOS</t>
  </si>
  <si>
    <t>CHUVEIROS EXTERNOS</t>
  </si>
  <si>
    <t>PARA PISO DOS CHUVEIROS EXTERNOS</t>
  </si>
  <si>
    <t>1 PARA CADA SANITÁRIO E 1 PARA O FRALDÁRIO</t>
  </si>
  <si>
    <t>1 PARA CADA CONJUNTO DE EXTINTOR</t>
  </si>
  <si>
    <t>(4*0,25)=1,00m²</t>
  </si>
  <si>
    <t>1,5*0,25= 0,38m²</t>
  </si>
  <si>
    <t>1 PARA CADA SANITÁRIO PNE</t>
  </si>
  <si>
    <t>PARA TOMADAS DUPLAS E INTERRUPTORES</t>
  </si>
  <si>
    <t>(0,9*5)+(1,67*2)+(2*6)+(1*2)= 21,84m</t>
  </si>
  <si>
    <t>6 PARA OS SANIT. COMUNS/2 PARA OS PNE E DOIS PARA O FRALDÁRIO</t>
  </si>
  <si>
    <t>PARA OS 15 BOXES DOS SANITÁRIOS COMUNS E 2 PNE</t>
  </si>
  <si>
    <t>PARA OS 2 SANITÁRIOS PNE</t>
  </si>
  <si>
    <t>PARA AS 2 PORTAS  E OS 2 LAVATÓRIOS DOS SANITÁRIOS PNE</t>
  </si>
  <si>
    <t>PARA ACESSO AOS 2 SANITÁRIOS PNE</t>
  </si>
  <si>
    <t>TAXA ADOTADA 1 VEZ</t>
  </si>
  <si>
    <t>ÁREA DE PROJEÇÃO DO EDIFÍCIO</t>
  </si>
  <si>
    <t>3 MESES</t>
  </si>
  <si>
    <t>2 PARA CADA SANIT; 1 PARA CADA SANITÁRIO PNE E 1 PARA O FRALDÁRIO</t>
  </si>
  <si>
    <t>7,60*7,62=57,91m²</t>
  </si>
  <si>
    <t>57,91*0,2= 11,58m³</t>
  </si>
  <si>
    <t>PARA 3 MESES</t>
  </si>
  <si>
    <t>12*9,00= 108,00m</t>
  </si>
  <si>
    <t>0,049*9*12= 5,29m³</t>
  </si>
  <si>
    <t>0,3*0,2*25,3= 1,52m³</t>
  </si>
  <si>
    <t>1,52*80*0,80= 97,15kg</t>
  </si>
  <si>
    <t>1,52*80*0,20= 24,29kg</t>
  </si>
  <si>
    <t>25,3*0,6= 15,18m²</t>
  </si>
  <si>
    <t>0,5*0,5*0,5*12= 1,50m³</t>
  </si>
  <si>
    <t>1,50*80*0,20=24,00kg</t>
  </si>
  <si>
    <t>1,50*80*0,80= 96,00kg</t>
  </si>
  <si>
    <t>(0,5*0,5*0,03*12)+(25,3*0,2*0,03)= 0,24m³</t>
  </si>
  <si>
    <t>25,3*0,8= 20,24m²</t>
  </si>
  <si>
    <t>20,24*0,015= 0,30m³</t>
  </si>
  <si>
    <t>0,5*0,5*8= 2,00m²</t>
  </si>
  <si>
    <t>2,61*80*0,8= 167,04kg</t>
  </si>
  <si>
    <t>2,61*80*0,20= 41,76kg</t>
  </si>
  <si>
    <t>2,61+2,03+0,58= 5,22m³</t>
  </si>
  <si>
    <t>21*0,15*0,2= 0,63m³</t>
  </si>
  <si>
    <t>2,03*80*0,80= 129,92kg</t>
  </si>
  <si>
    <t>2,03*80*0,20= 32,48kg</t>
  </si>
  <si>
    <t>(0,15*0,25*6*6)+(0,15*0,35*6*4)= 2,61m³</t>
  </si>
  <si>
    <t>(3,30*1,85)+(4,11*4,11) = 23,00m²</t>
  </si>
  <si>
    <t>11,63*0,05= 0,58m³</t>
  </si>
  <si>
    <t>(0,25*2*33,52)+(1,2*4,1)= 21,68m²</t>
  </si>
  <si>
    <t>0,1*0,1*6*30= 1,80m³</t>
  </si>
  <si>
    <t>(25,3*0,2*0,2)*1,3= 1,32m³</t>
  </si>
  <si>
    <t>(25,3*2,6)+(10,56*2,6)+(4,1*2)-11= 90,44m²</t>
  </si>
  <si>
    <t>(25,3*0,6*0,02)= 0,30m³</t>
  </si>
  <si>
    <t>25,3*0,4= 10,12m²</t>
  </si>
  <si>
    <t>27,35*1,077= 29,46m²</t>
  </si>
  <si>
    <t>7,4*2*1,077= 15,94m</t>
  </si>
  <si>
    <t>(9,46*2)+(5,28*2)+(5,28*0,9)= 34,23m²</t>
  </si>
  <si>
    <t>(9,51*2,75)+(10,43*2,75*2)+(18,49*6)+(22,77)+(2,8*1,8)-25,5= 196,77m²</t>
  </si>
  <si>
    <t>(17,96*0,9)-(0,8*0,9*2)= 14,72m²</t>
  </si>
  <si>
    <t>(2,64*2,64)+(2,64*2,64)+(4,22)+(7,96)+ (10,99)+(17,42*0,07)*1,1= 38,45m²</t>
  </si>
  <si>
    <t>7,71+6,31+8,81= 22,83m²</t>
  </si>
  <si>
    <t>0,60*1,00= 0,60m²</t>
  </si>
  <si>
    <t>196,77-34,23-14,72+15,74+7,81= 171,37m²</t>
  </si>
  <si>
    <t>29,46+3,35= 32,81m²</t>
  </si>
  <si>
    <t>PARA O SANITÁRIO</t>
  </si>
  <si>
    <t>1 PARA O SANITÁRIO E 1 PARA A SALA DE PRIMEIROS SOCORROS</t>
  </si>
  <si>
    <t>1*0,80= 0,80m²</t>
  </si>
  <si>
    <t>PARA A BACIA SIFONADA DO SANITÁRIO</t>
  </si>
  <si>
    <t>(2,5+2,5)*2+(0,8+0,8)+1= 12,60m</t>
  </si>
  <si>
    <t>(1,7*0,6)+(1,17*0,55)= 1,66m²</t>
  </si>
  <si>
    <t>PARA A SALA DE PRIMEIROS SOCORROS</t>
  </si>
  <si>
    <t>PARA A ÁREA EXTERNA</t>
  </si>
  <si>
    <t>(6*1,1)+(2,75*1,1)+(6,75*1,1)= 17,05m²</t>
  </si>
  <si>
    <t>PARA O TUBO DE DESCINA RÁPIDA</t>
  </si>
  <si>
    <t>PARA O QDL</t>
  </si>
  <si>
    <t>PARA O QDL - ENERGIA - ILUMINAÇÃO E SEPARADOS POR SANITÁRIO</t>
  </si>
  <si>
    <t>PARA O QDL - ENERGIA, ILUMINAÇÃO</t>
  </si>
  <si>
    <t xml:space="preserve">PARA O QDL  </t>
  </si>
  <si>
    <t xml:space="preserve"> PARA O QDL  </t>
  </si>
  <si>
    <t>1/2 BARRA = 6,00m</t>
  </si>
  <si>
    <t>PARA TOMADAS E INTERRUPTORES</t>
  </si>
  <si>
    <t>PARA TOMADAS E INTERRUPTORES DUPLOS</t>
  </si>
  <si>
    <t>PARA AS SALAS</t>
  </si>
  <si>
    <t>PARA O QDLm</t>
  </si>
  <si>
    <t>PARA SALAS E SANITÁRIO</t>
  </si>
  <si>
    <t>PARA ÁREA EXTERNA</t>
  </si>
  <si>
    <t>15+3= 18,00m</t>
  </si>
  <si>
    <t>2,2+3,8= 6,00m</t>
  </si>
  <si>
    <t>(1+2+1+2,5+1+1,5+1+2)= 12,00m</t>
  </si>
  <si>
    <t>(4+2+6)= 12,00m</t>
  </si>
  <si>
    <t>COMO CAIXA DE INSPEÇÃO E PASSAGEM</t>
  </si>
  <si>
    <t>PARA A REDE DE ALIM. DE ENTRADA</t>
  </si>
  <si>
    <t>PARA A REDE DE ALIME. DO SANITÁRIO E SALA DE PRIMEIROS SOCORROS</t>
  </si>
  <si>
    <t>1 PARA A SALA DE PRIMEIROS SOCORROS</t>
  </si>
  <si>
    <t>1 PARA CADA EXTINTOR</t>
  </si>
  <si>
    <t>25,00+40,00+(18*2)= 101,00m²</t>
  </si>
  <si>
    <t>6,35*6,35= 40,32m²</t>
  </si>
  <si>
    <t>0,1*0,06*15*25= 2,25m³</t>
  </si>
  <si>
    <t>0,3*0,1*0,003*7850*36= 25,43kg</t>
  </si>
  <si>
    <t>PARA O QUIOSQUE E APOIOS</t>
  </si>
  <si>
    <t>ÁREA DO TÉRREO + SUPERIOR</t>
  </si>
  <si>
    <t>Construção de Sanitário Público de uso coletivo, separado por gênero: Masc./Fem./ PNE, Para área pública do Grande Lago:</t>
  </si>
  <si>
    <t>10.7</t>
  </si>
  <si>
    <t>26.01.060</t>
  </si>
  <si>
    <t>0 Vidro liso transparente de 5 mm</t>
  </si>
  <si>
    <t>30.04.060</t>
  </si>
  <si>
    <t>(2,00*0,60*4)+(2,60*0,60*2)+ (1,20*0,60*2)=9,36m²</t>
  </si>
  <si>
    <t xml:space="preserve">44.01.050
</t>
  </si>
  <si>
    <t>44.01.050</t>
  </si>
  <si>
    <t>Eletroduto de PVC rígido roscável de 2´ - com acessórios</t>
  </si>
  <si>
    <t>38.01.120</t>
  </si>
  <si>
    <t xml:space="preserve">Registro de gaveta em latão fundido cromado com 
canopla, DN= 1 1/2´ - linha especial </t>
  </si>
  <si>
    <t>47.02.050</t>
  </si>
  <si>
    <t>Resp. Técnico: Arq. Dênis Mendes de Moraes</t>
  </si>
  <si>
    <t>TOTAL COM BDI (R$)</t>
  </si>
  <si>
    <t>TOTAL (%)</t>
  </si>
  <si>
    <t>16.0</t>
  </si>
  <si>
    <t>15.0</t>
  </si>
  <si>
    <t>14.0</t>
  </si>
  <si>
    <t>13.0</t>
  </si>
  <si>
    <t>12.0</t>
  </si>
  <si>
    <t>11.0</t>
  </si>
  <si>
    <t>10.0</t>
  </si>
  <si>
    <t>9.0</t>
  </si>
  <si>
    <t>8.0</t>
  </si>
  <si>
    <t>7.0</t>
  </si>
  <si>
    <t>6.0</t>
  </si>
  <si>
    <t>5.0</t>
  </si>
  <si>
    <t>4.0</t>
  </si>
  <si>
    <t>3.0</t>
  </si>
  <si>
    <t>2.0</t>
  </si>
  <si>
    <t>1.0</t>
  </si>
  <si>
    <t>SERVIÇOS</t>
  </si>
  <si>
    <t>TOTAL</t>
  </si>
  <si>
    <t>MÊS 10</t>
  </si>
  <si>
    <t>MÊS 9</t>
  </si>
  <si>
    <t>MÊS 8</t>
  </si>
  <si>
    <t>MÊS 7</t>
  </si>
  <si>
    <t>MÊS 6</t>
  </si>
  <si>
    <t>MÊS 5</t>
  </si>
  <si>
    <t>MÊS 4</t>
  </si>
  <si>
    <t>MÊS 3</t>
  </si>
  <si>
    <t>MÊS 2</t>
  </si>
  <si>
    <t>MÊS 1</t>
  </si>
  <si>
    <t>MÊS</t>
  </si>
  <si>
    <t>LOCAL: PARQUE AQUÁTICO BENEDICTO BENÍCIO ESTRADA MUNICIPAL PGP 010 - KIUJIRO MARUBAYASHI S/N - PARAGUAÇU PAULISTA - SP</t>
  </si>
  <si>
    <t>CRONOGRAMA FÍSICO FINANCEIRO</t>
  </si>
  <si>
    <t>Estado de São paulo</t>
  </si>
  <si>
    <t>Prefeitura Municipal da Estância Turistica de Paraguaçu Paulista</t>
  </si>
  <si>
    <t>ITEM</t>
  </si>
  <si>
    <t>UNIDADE</t>
  </si>
  <si>
    <t>%</t>
  </si>
  <si>
    <t>R$</t>
  </si>
  <si>
    <t>OBJETO: REQUALIFICAÇÃO DA INFRAESTRUTURA TURÍSTICA DO PARQUE AQUÁTICO PREF. BENEDICTO BENÍCIO - GRANDE LAGO - DADETUR 2021</t>
  </si>
  <si>
    <r>
      <rPr>
        <sz val="12"/>
        <color theme="1"/>
        <rFont val="Arial"/>
        <family val="2"/>
      </rPr>
      <t>Objeto:</t>
    </r>
    <r>
      <rPr>
        <b/>
        <sz val="12"/>
        <color theme="1"/>
        <rFont val="Arial"/>
        <family val="2"/>
      </rPr>
      <t xml:space="preserve"> Requalificação da Infraestrutura Turística do Parque Aquático Pref. Benedicto Benício - Grande Lago - DADETUR 2021</t>
    </r>
  </si>
  <si>
    <t>SERVIÇOS PRELIMINARES</t>
  </si>
  <si>
    <t>INFRAESTRUTURA</t>
  </si>
  <si>
    <t>SUPRAESTRUTURA</t>
  </si>
  <si>
    <t>ALVENARIA</t>
  </si>
  <si>
    <t>COBERTURA</t>
  </si>
  <si>
    <t>FORRO</t>
  </si>
  <si>
    <t>REVESTIMENTO</t>
  </si>
  <si>
    <t>PISO INTERNO</t>
  </si>
  <si>
    <t>PISO EXTERNO</t>
  </si>
  <si>
    <t>ABERTURAS</t>
  </si>
  <si>
    <t>PINTURA</t>
  </si>
  <si>
    <t>LOUÇAS - METAIS- ACABAMENTOS E DIVISÓRIAS</t>
  </si>
  <si>
    <t>LIMPEZA</t>
  </si>
  <si>
    <t>INCÊNDIO E SINALIZAÇÃO</t>
  </si>
  <si>
    <t>INSTALAÇÃO HIDROSSANITÁRIA</t>
  </si>
  <si>
    <t>INSTALAÇÃO ELÉTRICA E TELEFÔNICA</t>
  </si>
  <si>
    <t>Limpeza manual do terreno, inclusive troncos até 5 cm de diâmetro, com caminhão à disposição dentro da obra, até o raio de 1 km</t>
  </si>
  <si>
    <t>Lançamento e adensamento de concreto ou massa em estrutura - pilares</t>
  </si>
  <si>
    <t>Vidro temperado incolor de 8 mm</t>
  </si>
  <si>
    <t>26.02.040</t>
  </si>
  <si>
    <t>Caixilho em alumínio de correr, sob medida</t>
  </si>
  <si>
    <t>25.01.080</t>
  </si>
  <si>
    <t>Caixilho em alumínio anodizado de correr, sob medida</t>
  </si>
  <si>
    <t>Tinta látex antimofo em massa, inclusive preparo</t>
  </si>
  <si>
    <t>33.10.010</t>
  </si>
  <si>
    <t>Massa corrida a base de PVA</t>
  </si>
  <si>
    <t>33.02.060</t>
  </si>
  <si>
    <t>Corrimão em tubo de aço inoxidável escovado, diâmetro de 1 1/2”´</t>
  </si>
  <si>
    <t>24.08.031</t>
  </si>
  <si>
    <t xml:space="preserve">1.5 </t>
  </si>
  <si>
    <t>(9,2+9,2)*1,077= 19,82m</t>
  </si>
  <si>
    <t>1.6</t>
  </si>
  <si>
    <t>06.02.020</t>
  </si>
  <si>
    <t>Escavação manual em solo de 1ª e 2ª categoria 
em vala ou cava até 1,5 m</t>
  </si>
  <si>
    <t>(0,5*0,5*0,5*12)+(1,3)= 1,95m³</t>
  </si>
  <si>
    <t>((0,5*0,5*0,5*25)+(1,4*0,5*0,5*2))*1,3=4,97m³</t>
  </si>
  <si>
    <t>CÁLCULO</t>
  </si>
  <si>
    <t>Laje pré-fabricada mista vigota treliçada/lajota cerâmica - LT 12 (8+4) e capa com concreto de 25 Mpa</t>
  </si>
  <si>
    <t>13.01.130</t>
  </si>
  <si>
    <t>Estrutura em terças para telhas perfil e material qualquer, exceto barro</t>
  </si>
  <si>
    <t>15.01.320</t>
  </si>
  <si>
    <t>ESTRUTURA DO PISO E COBERTURA</t>
  </si>
  <si>
    <t>GUARDA CORPO E CORRIMÃO</t>
  </si>
  <si>
    <t>DECK</t>
  </si>
  <si>
    <t>ILUMINAÇÃO</t>
  </si>
  <si>
    <t>(2,5*2,2*2)+(2,50*1,4*2)= 18,00m²</t>
  </si>
  <si>
    <t xml:space="preserve">(0,68*95)+(0,46*64)+(0,35*10)+(0,5*1,1)+ (0,05*0,06*231,81)+ 101=199,79m² </t>
  </si>
  <si>
    <t>RRTs - 11285480 - 11285772</t>
  </si>
  <si>
    <t xml:space="preserve">Construção de Sanitário Público de uso coletivo, separado por gênero: Masc./Fem./ PNE, Para área pública do Grande Lago </t>
  </si>
  <si>
    <t>CDHU-182</t>
  </si>
  <si>
    <t>PRAZO PROPOSTO</t>
  </si>
  <si>
    <t>Data: Julho/2021</t>
  </si>
  <si>
    <t>Data da elaboração da planilha: Julho de 2021</t>
  </si>
  <si>
    <t>Data da elaboração da planilha: Julho  de 2021</t>
  </si>
  <si>
    <t>DATA: Julho/2021</t>
  </si>
  <si>
    <t>Impermeabilização em argamassa polimérica para ume e água de percolação - baldrame</t>
  </si>
  <si>
    <t>Rejuntamento em placas cerâmicas com argamassa industrializada para rejunte, juntas acima de 5 até 10 mm</t>
  </si>
  <si>
    <t>97.02.194</t>
  </si>
  <si>
    <t>18.06.431</t>
  </si>
  <si>
    <t>BDI%</t>
  </si>
  <si>
    <t>BDI %</t>
  </si>
  <si>
    <t>Relé fotoelétrico 50/60 Hz, 110/220 V, 1200 VA, completo</t>
  </si>
  <si>
    <t>40.11.010</t>
  </si>
  <si>
    <t>Paisagismo</t>
  </si>
  <si>
    <t>17.1</t>
  </si>
  <si>
    <t>Plantio de grama batatais em placas (praças e áreas abertas)</t>
  </si>
  <si>
    <t>34.02.020</t>
  </si>
  <si>
    <t>16.2</t>
  </si>
  <si>
    <t>Limpeza e regularização de áreas para ajardinamento (jardins e canteiros)</t>
  </si>
  <si>
    <t>34.01.020</t>
  </si>
  <si>
    <t>Subtotal item 17</t>
  </si>
  <si>
    <t>ENTORNO DA EDIFICAÇÃO COM 1,80m ALÉM DO CALÇAMENTO</t>
  </si>
  <si>
    <t>PARA ACIONAMENTO DAS LUMINÁRIAS</t>
  </si>
  <si>
    <t>Porta de correr em alumínio tipo lambri branco, sob medida</t>
  </si>
  <si>
    <t>25.02.042</t>
  </si>
  <si>
    <t>0,90*2,10=1,89m²</t>
  </si>
  <si>
    <t>12.25</t>
  </si>
  <si>
    <t>24.08.040</t>
  </si>
  <si>
    <t>Corrimão em tubo de aço inoxidável escovado, diâmetro de 1 1/2´ e montantes com diâmetro de 2´</t>
  </si>
  <si>
    <t>(2,80*7)+25= 44,60m</t>
  </si>
  <si>
    <t>12*2= 24,00m</t>
  </si>
  <si>
    <t>Desonerada</t>
  </si>
  <si>
    <t>Subtotal item 7</t>
  </si>
  <si>
    <t>Soalho em tábuas de madeira aparelhada</t>
  </si>
  <si>
    <t>(1,8*10)+8,40= 26,40m²</t>
  </si>
  <si>
    <t>(0,3*0,08*5,50*25)+(0,2*0,06*5,50*15)+(0,2*0,06*20)+(0,15*0,05*5)+ (0,15*0,15*1,1*20)= 5,05m³</t>
  </si>
  <si>
    <t>PAISAGISMO</t>
  </si>
  <si>
    <t>CONVÊNIO:  DEPARTAMENTO DE APOIO AO DESENVOLVIMENTO DAS ESTÂNCIAS – DADETUR 2021</t>
  </si>
  <si>
    <t>17.0</t>
  </si>
  <si>
    <t>12*13,375 = 160,50m²</t>
  </si>
  <si>
    <t>78,32*0,5= 39,16m²</t>
  </si>
  <si>
    <t>2,925*80*0,8=187,20kg</t>
  </si>
  <si>
    <t>2,925*80*0,2=46,80kg</t>
  </si>
  <si>
    <t>2,9394*80*0,80=188,12kg</t>
  </si>
  <si>
    <t>2,9394*80*0,20=47,03kg</t>
  </si>
  <si>
    <t>Área total + beirais(20,66)=134,02m²</t>
  </si>
  <si>
    <t>((2,144+4,492)/2*2,2)*2=14,73m²</t>
  </si>
  <si>
    <t>(13,915*2)+(9,57*2)=46,97m²</t>
  </si>
  <si>
    <t>(18,5*5)+(16*3)= 138,00m</t>
  </si>
  <si>
    <t>5,17*3=15,51m</t>
  </si>
  <si>
    <t>25+20,2+(8*2,5)= 65,20m</t>
  </si>
  <si>
    <t>3*4= 12,00m</t>
  </si>
  <si>
    <t>17+2,6+3= 47,20m</t>
  </si>
  <si>
    <t xml:space="preserve">(0,15*0,25*10,56)+(0,15*0,24*22,96)+(4,5*1,2*0,15)= 2,03m³ </t>
  </si>
  <si>
    <t>(4,11*1,10)+(3,01*1,10)+(3,3*1,85)= 13,94m²</t>
  </si>
  <si>
    <t>(0,8*2,1)*2= 3,36m²</t>
  </si>
  <si>
    <t>3*4 = 12,00m</t>
  </si>
  <si>
    <t>43,60*3= 133,80m</t>
  </si>
  <si>
    <t>44,60*2= 89,20m</t>
  </si>
  <si>
    <t>Interruptor bipolar simples, 1 tecla dupla e placa</t>
  </si>
  <si>
    <t>40.05.180</t>
  </si>
  <si>
    <t>PARA ACIONAMENTO AUTOMÁTICO DAS LUMINÁRIAS</t>
  </si>
  <si>
    <t>101,05+14= 115,05m</t>
  </si>
  <si>
    <t>115*2= 230,00m</t>
  </si>
  <si>
    <t>49,42*3= 148,28m</t>
  </si>
  <si>
    <t>26,40+10+13= 49,40m</t>
  </si>
  <si>
    <t xml:space="preserve">2 PARA O SANITÁRIO - 1 PARA CADA SALA </t>
  </si>
  <si>
    <t xml:space="preserve">
Impermeabilização em argamassa polimérica para umidade e água de percolação</t>
  </si>
  <si>
    <t>Interruptor com 2 teclas paralelo e placa</t>
  </si>
  <si>
    <t>Impermeabilização em argamassa polimérica para umidade e água de percolação - Laje</t>
  </si>
  <si>
    <t>unid</t>
  </si>
  <si>
    <t>2,40 = PARA ACESSO AO SANITÁRIO</t>
  </si>
  <si>
    <t xml:space="preserve">CRONOGRAMA FÍSICO - DESEMBOLSO E APLICAÇÃO DOS RECURSOS </t>
  </si>
  <si>
    <t>MUNICÍPIO:</t>
  </si>
  <si>
    <t>ESTÂNCIA TURÍSTICA DE PARAGUAÇU PAULISTA</t>
  </si>
  <si>
    <t>BOLETIM Nº.</t>
  </si>
  <si>
    <t xml:space="preserve">DATA BASE: </t>
  </si>
  <si>
    <t>OBJETO:</t>
  </si>
  <si>
    <t>Requalificação da Infraestrutura Turística no Parque Aquático Pref. Benedicto Benício - Grande Lago</t>
  </si>
  <si>
    <t>BOLETIM CDHU 182 - Com desoneração</t>
  </si>
  <si>
    <t>PROCESSO:</t>
  </si>
  <si>
    <t>ST-PRC-2021-00192-DM</t>
  </si>
  <si>
    <r>
      <t xml:space="preserve">INÍCIO: </t>
    </r>
    <r>
      <rPr>
        <sz val="10"/>
        <rFont val="Calibri"/>
        <family val="2"/>
        <scheme val="minor"/>
      </rPr>
      <t xml:space="preserve"> </t>
    </r>
  </si>
  <si>
    <t xml:space="preserve">180 dias da data da assinatura do convênio </t>
  </si>
  <si>
    <t>CONVÊNIO:</t>
  </si>
  <si>
    <r>
      <t>FINAL:</t>
    </r>
    <r>
      <rPr>
        <b/>
        <u/>
        <sz val="10"/>
        <color rgb="FFFF0000"/>
        <rFont val="Calibri"/>
        <family val="2"/>
        <scheme val="minor"/>
      </rPr>
      <t/>
    </r>
  </si>
  <si>
    <t>1ª   ETAPA</t>
  </si>
  <si>
    <t>2ª   ETAPA</t>
  </si>
  <si>
    <t>PERÍODO</t>
  </si>
  <si>
    <t>dias</t>
  </si>
  <si>
    <t>Licitação:</t>
  </si>
  <si>
    <t>Execução:</t>
  </si>
  <si>
    <t>Vistoria:</t>
  </si>
  <si>
    <t>Encerramento:</t>
  </si>
  <si>
    <t xml:space="preserve">RECURSOS ESTADUAIS </t>
  </si>
  <si>
    <t xml:space="preserve">RECURSOS PRÓPRIOS </t>
  </si>
  <si>
    <t xml:space="preserve">T O T A L  </t>
  </si>
  <si>
    <t>PORCENTAGEM DE SERVIÇOS</t>
  </si>
  <si>
    <t>Nome do responsável técnico: Arq. Dênis Mendes de Moraes</t>
  </si>
  <si>
    <t>CAU: A96375-5</t>
  </si>
  <si>
    <t>RRT's: 11285480 - 11285772</t>
  </si>
  <si>
    <t xml:space="preserve">Base: CDHU - 182 </t>
  </si>
  <si>
    <t>Construção do Posto Salva Vidas</t>
  </si>
  <si>
    <t>Reforma do Píer - Atracadouro</t>
  </si>
  <si>
    <t xml:space="preserve"> Construção do Sanitário</t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</si>
</sst>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 R$ &quot;* #,##0.00\ ;&quot;-R$ &quot;* #,##0.00\ ;&quot; R$ &quot;* \-#\ ;@\ "/>
    <numFmt numFmtId="165" formatCode="[$R$-416]\ #,##0.00;[Red]\-[$R$-416]\ #,##0.00"/>
    <numFmt numFmtId="166" formatCode="&quot;R$&quot;\ #,##0.00"/>
    <numFmt numFmtId="167" formatCode="_-[$R$-416]\ * #,##0.00_-;\-[$R$-416]\ * #,##0.00_-;_-[$R$-416]\ * &quot;-&quot;??_-;_-@_-"/>
  </numFmts>
  <fonts count="5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3.5"/>
      <color theme="1"/>
      <name val="Arial"/>
      <family val="2"/>
    </font>
    <font>
      <b/>
      <sz val="12"/>
      <color theme="1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b/>
      <u/>
      <sz val="11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  <charset val="1"/>
    </font>
    <font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8"/>
      <name val="Arial"/>
      <family val="2"/>
      <charset val="1"/>
    </font>
    <font>
      <b/>
      <sz val="9"/>
      <name val="Arial"/>
      <family val="2"/>
      <charset val="1"/>
    </font>
    <font>
      <sz val="8"/>
      <name val="Arial"/>
      <family val="2"/>
      <charset val="1"/>
    </font>
    <font>
      <b/>
      <sz val="11"/>
      <name val="Arial"/>
      <family val="2"/>
      <charset val="1"/>
    </font>
    <font>
      <sz val="8"/>
      <color rgb="FF000000"/>
      <name val="Arial"/>
      <family val="2"/>
      <charset val="1"/>
    </font>
    <font>
      <b/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3.5"/>
      <color rgb="FF000000"/>
      <name val="Arial"/>
      <family val="2"/>
      <charset val="1"/>
    </font>
    <font>
      <b/>
      <sz val="8"/>
      <name val="Arial"/>
      <family val="2"/>
    </font>
    <font>
      <sz val="10"/>
      <color theme="1"/>
      <name val="Arial"/>
      <family val="2"/>
      <charset val="1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u/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b/>
      <sz val="6"/>
      <name val="Calibri"/>
      <family val="2"/>
      <scheme val="minor"/>
    </font>
    <font>
      <b/>
      <sz val="8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u/>
      <sz val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0F0F0"/>
      </patternFill>
    </fill>
    <fill>
      <patternFill patternType="solid">
        <fgColor rgb="FFD9D9D9"/>
        <bgColor rgb="FFD8D8D8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</borders>
  <cellStyleXfs count="11">
    <xf numFmtId="0" fontId="0" fillId="0" borderId="0"/>
    <xf numFmtId="44" fontId="6" fillId="0" borderId="0" applyFont="0" applyFill="0" applyBorder="0" applyAlignment="0" applyProtection="0"/>
    <xf numFmtId="0" fontId="14" fillId="0" borderId="0"/>
    <xf numFmtId="9" fontId="14" fillId="0" borderId="0" applyBorder="0" applyProtection="0"/>
    <xf numFmtId="9" fontId="14" fillId="0" borderId="0" applyBorder="0" applyProtection="0"/>
    <xf numFmtId="165" fontId="14" fillId="0" borderId="0" applyBorder="0" applyProtection="0"/>
    <xf numFmtId="0" fontId="31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</cellStyleXfs>
  <cellXfs count="426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2" fillId="0" borderId="6" xfId="0" applyFont="1" applyBorder="1" applyAlignment="1"/>
    <xf numFmtId="0" fontId="2" fillId="0" borderId="8" xfId="0" applyFont="1" applyBorder="1" applyAlignment="1"/>
    <xf numFmtId="0" fontId="2" fillId="0" borderId="2" xfId="0" applyFont="1" applyBorder="1" applyAlignment="1"/>
    <xf numFmtId="0" fontId="1" fillId="0" borderId="1" xfId="0" applyFont="1" applyBorder="1" applyAlignment="1">
      <alignment horizontal="center"/>
    </xf>
    <xf numFmtId="0" fontId="3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4" fontId="1" fillId="0" borderId="1" xfId="1" applyFont="1" applyBorder="1"/>
    <xf numFmtId="44" fontId="1" fillId="2" borderId="1" xfId="1" applyFont="1" applyFill="1" applyBorder="1"/>
    <xf numFmtId="44" fontId="3" fillId="2" borderId="1" xfId="1" applyFont="1" applyFill="1" applyBorder="1"/>
    <xf numFmtId="2" fontId="1" fillId="0" borderId="1" xfId="0" applyNumberFormat="1" applyFont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44" fontId="3" fillId="0" borderId="1" xfId="1" applyFont="1" applyBorder="1"/>
    <xf numFmtId="44" fontId="0" fillId="0" borderId="0" xfId="0" applyNumberFormat="1"/>
    <xf numFmtId="0" fontId="7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9" fillId="2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4" fontId="1" fillId="2" borderId="1" xfId="0" applyNumberFormat="1" applyFont="1" applyFill="1" applyBorder="1"/>
    <xf numFmtId="44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horizontal="center"/>
    </xf>
    <xf numFmtId="44" fontId="3" fillId="0" borderId="1" xfId="0" applyNumberFormat="1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0" fillId="0" borderId="6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8" xfId="0" applyBorder="1"/>
    <xf numFmtId="0" fontId="0" fillId="0" borderId="2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4" fontId="1" fillId="0" borderId="1" xfId="0" applyNumberFormat="1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44" fontId="1" fillId="0" borderId="1" xfId="0" applyNumberFormat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 vertical="top" wrapText="1"/>
    </xf>
    <xf numFmtId="44" fontId="3" fillId="2" borderId="1" xfId="0" applyNumberFormat="1" applyFont="1" applyFill="1" applyBorder="1"/>
    <xf numFmtId="44" fontId="1" fillId="0" borderId="0" xfId="0" applyNumberFormat="1" applyFont="1" applyBorder="1"/>
    <xf numFmtId="44" fontId="1" fillId="0" borderId="0" xfId="0" applyNumberFormat="1" applyFont="1" applyFill="1" applyBorder="1"/>
    <xf numFmtId="44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1" fillId="0" borderId="1" xfId="0" applyNumberFormat="1" applyFont="1" applyFill="1" applyBorder="1" applyAlignment="1"/>
    <xf numFmtId="44" fontId="1" fillId="0" borderId="1" xfId="1" applyFont="1" applyFill="1" applyBorder="1"/>
    <xf numFmtId="0" fontId="1" fillId="0" borderId="1" xfId="0" applyFont="1" applyFill="1" applyBorder="1" applyAlignment="1">
      <alignment horizontal="left" vertical="top"/>
    </xf>
    <xf numFmtId="2" fontId="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right" wrapText="1"/>
    </xf>
    <xf numFmtId="1" fontId="11" fillId="0" borderId="0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right"/>
    </xf>
    <xf numFmtId="0" fontId="1" fillId="0" borderId="1" xfId="0" applyFont="1" applyBorder="1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vertical="top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1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44" fontId="3" fillId="2" borderId="1" xfId="0" applyNumberFormat="1" applyFont="1" applyFill="1" applyBorder="1" applyAlignment="1">
      <alignment horizontal="left"/>
    </xf>
    <xf numFmtId="1" fontId="11" fillId="0" borderId="1" xfId="0" applyNumberFormat="1" applyFont="1" applyFill="1" applyBorder="1" applyAlignment="1">
      <alignment horizontal="center" wrapText="1"/>
    </xf>
    <xf numFmtId="0" fontId="12" fillId="0" borderId="1" xfId="0" applyFont="1" applyBorder="1" applyAlignment="1">
      <alignment horizontal="right"/>
    </xf>
    <xf numFmtId="0" fontId="9" fillId="0" borderId="1" xfId="0" applyFont="1" applyFill="1" applyBorder="1" applyAlignment="1">
      <alignment horizontal="right"/>
    </xf>
    <xf numFmtId="4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right" vertical="top" wrapText="1"/>
    </xf>
    <xf numFmtId="0" fontId="2" fillId="0" borderId="11" xfId="0" applyFont="1" applyBorder="1" applyAlignment="1">
      <alignment horizontal="left" vertical="top" wrapText="1"/>
    </xf>
    <xf numFmtId="0" fontId="1" fillId="0" borderId="1" xfId="0" quotePrefix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4" fillId="0" borderId="0" xfId="2"/>
    <xf numFmtId="0" fontId="14" fillId="0" borderId="9" xfId="2" applyFont="1" applyBorder="1" applyAlignment="1">
      <alignment vertical="top" wrapText="1"/>
    </xf>
    <xf numFmtId="0" fontId="14" fillId="0" borderId="2" xfId="2" applyFont="1" applyBorder="1" applyAlignment="1">
      <alignment vertical="top" wrapText="1"/>
    </xf>
    <xf numFmtId="0" fontId="14" fillId="0" borderId="8" xfId="2" applyFont="1" applyBorder="1" applyAlignment="1">
      <alignment vertical="top" wrapText="1"/>
    </xf>
    <xf numFmtId="0" fontId="14" fillId="0" borderId="7" xfId="2" applyFont="1" applyBorder="1" applyAlignment="1"/>
    <xf numFmtId="0" fontId="14" fillId="0" borderId="0" xfId="2" applyFont="1" applyBorder="1" applyAlignment="1"/>
    <xf numFmtId="0" fontId="14" fillId="0" borderId="6" xfId="2" applyFont="1" applyBorder="1" applyAlignment="1"/>
    <xf numFmtId="0" fontId="14" fillId="4" borderId="5" xfId="2" applyFill="1" applyBorder="1" applyAlignment="1">
      <alignment horizontal="left" vertical="top" wrapText="1"/>
    </xf>
    <xf numFmtId="0" fontId="14" fillId="4" borderId="4" xfId="2" applyFill="1" applyBorder="1" applyAlignment="1">
      <alignment horizontal="left" vertical="top" wrapText="1"/>
    </xf>
    <xf numFmtId="0" fontId="14" fillId="4" borderId="3" xfId="2" applyFill="1" applyBorder="1" applyAlignment="1">
      <alignment horizontal="left" vertical="top" wrapText="1"/>
    </xf>
    <xf numFmtId="0" fontId="16" fillId="4" borderId="1" xfId="2" applyFont="1" applyFill="1" applyBorder="1" applyAlignment="1">
      <alignment horizontal="left" vertical="top" wrapText="1"/>
    </xf>
    <xf numFmtId="164" fontId="14" fillId="0" borderId="0" xfId="2" applyNumberFormat="1" applyBorder="1" applyAlignment="1">
      <alignment horizontal="left" vertical="top"/>
    </xf>
    <xf numFmtId="165" fontId="17" fillId="4" borderId="1" xfId="2" applyNumberFormat="1" applyFont="1" applyFill="1" applyBorder="1" applyAlignment="1" applyProtection="1">
      <alignment horizontal="right" vertical="top" wrapText="1"/>
    </xf>
    <xf numFmtId="165" fontId="18" fillId="4" borderId="1" xfId="2" applyNumberFormat="1" applyFont="1" applyFill="1" applyBorder="1" applyAlignment="1" applyProtection="1">
      <alignment horizontal="center" vertical="top" wrapText="1"/>
    </xf>
    <xf numFmtId="10" fontId="14" fillId="0" borderId="0" xfId="2" applyNumberFormat="1" applyBorder="1" applyAlignment="1">
      <alignment horizontal="left" vertical="top"/>
    </xf>
    <xf numFmtId="10" fontId="17" fillId="4" borderId="1" xfId="3" applyNumberFormat="1" applyFont="1" applyFill="1" applyBorder="1" applyAlignment="1" applyProtection="1">
      <alignment horizontal="right" vertical="top" wrapText="1"/>
    </xf>
    <xf numFmtId="10" fontId="18" fillId="4" borderId="12" xfId="2" applyNumberFormat="1" applyFont="1" applyFill="1" applyBorder="1" applyAlignment="1">
      <alignment horizontal="center" vertical="top" wrapText="1"/>
    </xf>
    <xf numFmtId="10" fontId="16" fillId="0" borderId="0" xfId="4" applyNumberFormat="1" applyFont="1" applyBorder="1" applyAlignment="1" applyProtection="1">
      <alignment horizontal="left" vertical="top"/>
    </xf>
    <xf numFmtId="165" fontId="14" fillId="0" borderId="0" xfId="2" applyNumberFormat="1"/>
    <xf numFmtId="165" fontId="20" fillId="4" borderId="13" xfId="2" applyNumberFormat="1" applyFont="1" applyFill="1" applyBorder="1" applyAlignment="1" applyProtection="1">
      <alignment horizontal="right" vertical="top" wrapText="1"/>
    </xf>
    <xf numFmtId="10" fontId="14" fillId="0" borderId="0" xfId="2" applyNumberFormat="1"/>
    <xf numFmtId="10" fontId="17" fillId="4" borderId="11" xfId="2" applyNumberFormat="1" applyFont="1" applyFill="1" applyBorder="1" applyAlignment="1">
      <alignment horizontal="right" vertical="top" wrapText="1"/>
    </xf>
    <xf numFmtId="1" fontId="23" fillId="5" borderId="13" xfId="2" applyNumberFormat="1" applyFont="1" applyFill="1" applyBorder="1" applyAlignment="1">
      <alignment horizontal="right" vertical="top" wrapText="1"/>
    </xf>
    <xf numFmtId="0" fontId="19" fillId="5" borderId="5" xfId="2" applyFont="1" applyFill="1" applyBorder="1" applyAlignment="1">
      <alignment horizontal="right" vertical="top" wrapText="1"/>
    </xf>
    <xf numFmtId="0" fontId="14" fillId="5" borderId="4" xfId="2" applyFill="1" applyBorder="1" applyAlignment="1">
      <alignment horizontal="left" vertical="top" wrapText="1"/>
    </xf>
    <xf numFmtId="0" fontId="14" fillId="5" borderId="3" xfId="2" applyFill="1" applyBorder="1" applyAlignment="1">
      <alignment horizontal="left" vertical="top" wrapText="1"/>
    </xf>
    <xf numFmtId="0" fontId="21" fillId="5" borderId="13" xfId="2" applyFont="1" applyFill="1" applyBorder="1" applyAlignment="1">
      <alignment horizontal="right" vertical="top" wrapText="1"/>
    </xf>
    <xf numFmtId="165" fontId="20" fillId="4" borderId="1" xfId="2" applyNumberFormat="1" applyFont="1" applyFill="1" applyBorder="1" applyAlignment="1" applyProtection="1">
      <alignment horizontal="right" vertical="top" wrapText="1"/>
    </xf>
    <xf numFmtId="10" fontId="29" fillId="4" borderId="12" xfId="2" applyNumberFormat="1" applyFont="1" applyFill="1" applyBorder="1" applyAlignment="1">
      <alignment horizontal="center" vertical="top" wrapText="1"/>
    </xf>
    <xf numFmtId="165" fontId="29" fillId="4" borderId="1" xfId="2" applyNumberFormat="1" applyFont="1" applyFill="1" applyBorder="1" applyAlignment="1" applyProtection="1">
      <alignment horizontal="center" vertical="top" wrapText="1"/>
    </xf>
    <xf numFmtId="10" fontId="28" fillId="4" borderId="12" xfId="2" applyNumberFormat="1" applyFont="1" applyFill="1" applyBorder="1" applyAlignment="1">
      <alignment horizontal="center" vertical="top" wrapText="1"/>
    </xf>
    <xf numFmtId="165" fontId="28" fillId="4" borderId="1" xfId="2" applyNumberFormat="1" applyFont="1" applyFill="1" applyBorder="1" applyAlignment="1" applyProtection="1">
      <alignment horizontal="center" vertical="top" wrapText="1"/>
    </xf>
    <xf numFmtId="166" fontId="28" fillId="4" borderId="1" xfId="2" applyNumberFormat="1" applyFont="1" applyFill="1" applyBorder="1" applyAlignment="1" applyProtection="1">
      <alignment horizontal="center" vertical="top" wrapText="1"/>
    </xf>
    <xf numFmtId="44" fontId="1" fillId="0" borderId="1" xfId="1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left" wrapText="1"/>
    </xf>
    <xf numFmtId="0" fontId="25" fillId="0" borderId="6" xfId="2" applyFont="1" applyBorder="1" applyAlignment="1"/>
    <xf numFmtId="0" fontId="25" fillId="0" borderId="0" xfId="2" applyFont="1" applyBorder="1" applyAlignment="1"/>
    <xf numFmtId="0" fontId="25" fillId="0" borderId="7" xfId="2" applyFont="1" applyBorder="1" applyAlignment="1"/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0" fillId="0" borderId="0" xfId="0" applyFont="1" applyBorder="1" applyAlignment="1">
      <alignment horizontal="center"/>
    </xf>
    <xf numFmtId="44" fontId="3" fillId="2" borderId="1" xfId="1" applyNumberFormat="1" applyFont="1" applyFill="1" applyBorder="1"/>
    <xf numFmtId="44" fontId="1" fillId="0" borderId="1" xfId="1" applyNumberFormat="1" applyFont="1" applyFill="1" applyBorder="1"/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10" fontId="13" fillId="2" borderId="1" xfId="0" applyNumberFormat="1" applyFont="1" applyFill="1" applyBorder="1" applyAlignment="1">
      <alignment horizontal="right"/>
    </xf>
    <xf numFmtId="10" fontId="3" fillId="2" borderId="1" xfId="0" applyNumberFormat="1" applyFont="1" applyFill="1" applyBorder="1" applyAlignment="1">
      <alignment horizontal="center"/>
    </xf>
    <xf numFmtId="0" fontId="1" fillId="2" borderId="10" xfId="1" applyNumberFormat="1" applyFont="1" applyFill="1" applyBorder="1" applyAlignment="1">
      <alignment horizontal="center"/>
    </xf>
    <xf numFmtId="0" fontId="1" fillId="2" borderId="12" xfId="1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0" fontId="3" fillId="2" borderId="1" xfId="0" quotePrefix="1" applyFont="1" applyFill="1" applyBorder="1" applyAlignment="1">
      <alignment horizontal="center" vertical="center"/>
    </xf>
    <xf numFmtId="0" fontId="1" fillId="0" borderId="1" xfId="1" applyNumberFormat="1" applyFont="1" applyBorder="1" applyAlignment="1"/>
    <xf numFmtId="44" fontId="1" fillId="0" borderId="1" xfId="1" applyNumberFormat="1" applyFont="1" applyBorder="1" applyAlignment="1"/>
    <xf numFmtId="0" fontId="7" fillId="0" borderId="1" xfId="0" applyFont="1" applyFill="1" applyBorder="1" applyAlignment="1">
      <alignment horizontal="left" wrapText="1"/>
    </xf>
    <xf numFmtId="44" fontId="1" fillId="0" borderId="1" xfId="1" applyNumberFormat="1" applyFont="1" applyFill="1" applyBorder="1" applyAlignment="1">
      <alignment horizontal="center"/>
    </xf>
    <xf numFmtId="44" fontId="3" fillId="0" borderId="1" xfId="1" applyNumberFormat="1" applyFont="1" applyBorder="1" applyAlignment="1"/>
    <xf numFmtId="0" fontId="19" fillId="5" borderId="11" xfId="2" applyFont="1" applyFill="1" applyBorder="1" applyAlignment="1">
      <alignment horizontal="center" vertical="top" wrapText="1"/>
    </xf>
    <xf numFmtId="0" fontId="14" fillId="4" borderId="1" xfId="2" applyFill="1" applyBorder="1" applyAlignment="1">
      <alignment horizontal="left" vertical="top" wrapText="1"/>
    </xf>
    <xf numFmtId="165" fontId="20" fillId="4" borderId="14" xfId="2" applyNumberFormat="1" applyFont="1" applyFill="1" applyBorder="1" applyAlignment="1" applyProtection="1">
      <alignment horizontal="right" vertical="top" wrapText="1"/>
    </xf>
    <xf numFmtId="10" fontId="20" fillId="4" borderId="14" xfId="2" applyNumberFormat="1" applyFont="1" applyFill="1" applyBorder="1" applyAlignment="1" applyProtection="1">
      <alignment horizontal="right" vertical="top" wrapText="1"/>
    </xf>
    <xf numFmtId="44" fontId="1" fillId="0" borderId="1" xfId="1" applyFont="1" applyFill="1" applyBorder="1" applyAlignment="1"/>
    <xf numFmtId="10" fontId="28" fillId="5" borderId="5" xfId="2" applyNumberFormat="1" applyFont="1" applyFill="1" applyBorder="1" applyAlignment="1">
      <alignment horizontal="center" vertical="top" wrapText="1"/>
    </xf>
    <xf numFmtId="10" fontId="28" fillId="5" borderId="11" xfId="2" applyNumberFormat="1" applyFont="1" applyFill="1" applyBorder="1" applyAlignment="1">
      <alignment horizontal="center" vertical="top" wrapText="1"/>
    </xf>
    <xf numFmtId="165" fontId="28" fillId="0" borderId="9" xfId="2" applyNumberFormat="1" applyFont="1" applyBorder="1" applyAlignment="1" applyProtection="1">
      <alignment horizontal="center" vertical="top" wrapText="1"/>
    </xf>
    <xf numFmtId="165" fontId="28" fillId="0" borderId="13" xfId="2" applyNumberFormat="1" applyFont="1" applyBorder="1" applyAlignment="1" applyProtection="1">
      <alignment horizontal="center" vertical="top" wrapText="1"/>
    </xf>
    <xf numFmtId="0" fontId="28" fillId="0" borderId="13" xfId="2" applyFont="1" applyBorder="1" applyAlignment="1" applyProtection="1">
      <alignment horizontal="center" vertical="top" wrapText="1"/>
    </xf>
    <xf numFmtId="0" fontId="28" fillId="0" borderId="9" xfId="2" applyFont="1" applyBorder="1" applyAlignment="1" applyProtection="1">
      <alignment horizontal="center" vertical="top" wrapText="1"/>
    </xf>
    <xf numFmtId="166" fontId="28" fillId="0" borderId="13" xfId="2" applyNumberFormat="1" applyFont="1" applyBorder="1" applyAlignment="1" applyProtection="1">
      <alignment horizontal="center" vertical="top" wrapText="1"/>
    </xf>
    <xf numFmtId="0" fontId="28" fillId="4" borderId="9" xfId="2" applyFont="1" applyFill="1" applyBorder="1" applyAlignment="1" applyProtection="1">
      <alignment horizontal="center" vertical="top" wrapText="1"/>
    </xf>
    <xf numFmtId="0" fontId="28" fillId="4" borderId="13" xfId="2" applyFont="1" applyFill="1" applyBorder="1" applyAlignment="1" applyProtection="1">
      <alignment horizontal="center" vertical="top" wrapText="1"/>
    </xf>
    <xf numFmtId="165" fontId="28" fillId="4" borderId="9" xfId="2" applyNumberFormat="1" applyFont="1" applyFill="1" applyBorder="1" applyAlignment="1" applyProtection="1">
      <alignment horizontal="center" vertical="top" wrapText="1"/>
    </xf>
    <xf numFmtId="165" fontId="28" fillId="2" borderId="7" xfId="2" applyNumberFormat="1" applyFont="1" applyFill="1" applyBorder="1" applyAlignment="1" applyProtection="1">
      <alignment horizontal="center" vertical="top" wrapText="1"/>
    </xf>
    <xf numFmtId="165" fontId="28" fillId="2" borderId="14" xfId="2" applyNumberFormat="1" applyFont="1" applyFill="1" applyBorder="1" applyAlignment="1" applyProtection="1">
      <alignment horizontal="center" vertical="top" wrapText="1"/>
    </xf>
    <xf numFmtId="10" fontId="28" fillId="2" borderId="14" xfId="2" applyNumberFormat="1" applyFont="1" applyFill="1" applyBorder="1" applyAlignment="1" applyProtection="1">
      <alignment horizontal="center" vertical="top" wrapText="1"/>
    </xf>
    <xf numFmtId="165" fontId="28" fillId="0" borderId="7" xfId="2" applyNumberFormat="1" applyFont="1" applyBorder="1" applyAlignment="1" applyProtection="1">
      <alignment horizontal="center" vertical="top" wrapText="1"/>
    </xf>
    <xf numFmtId="165" fontId="28" fillId="0" borderId="14" xfId="2" applyNumberFormat="1" applyFont="1" applyBorder="1" applyAlignment="1" applyProtection="1">
      <alignment horizontal="center" vertical="top" wrapText="1"/>
    </xf>
    <xf numFmtId="0" fontId="32" fillId="0" borderId="0" xfId="0" applyFont="1"/>
    <xf numFmtId="0" fontId="33" fillId="0" borderId="0" xfId="9" applyAlignment="1" applyProtection="1">
      <alignment vertical="center"/>
    </xf>
    <xf numFmtId="0" fontId="33" fillId="3" borderId="0" xfId="9" applyFill="1" applyBorder="1" applyAlignment="1" applyProtection="1">
      <alignment vertical="center"/>
    </xf>
    <xf numFmtId="0" fontId="33" fillId="3" borderId="0" xfId="9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36" fillId="0" borderId="0" xfId="9" applyFont="1" applyAlignment="1" applyProtection="1">
      <alignment horizontal="center" vertical="center"/>
    </xf>
    <xf numFmtId="0" fontId="36" fillId="3" borderId="0" xfId="9" applyFont="1" applyFill="1" applyBorder="1" applyAlignment="1" applyProtection="1">
      <alignment horizontal="center" vertical="center"/>
    </xf>
    <xf numFmtId="0" fontId="36" fillId="3" borderId="0" xfId="9" applyFont="1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37" fillId="0" borderId="0" xfId="9" applyFont="1" applyBorder="1" applyAlignment="1" applyProtection="1">
      <alignment horizontal="center" vertical="center"/>
    </xf>
    <xf numFmtId="0" fontId="38" fillId="0" borderId="0" xfId="9" applyFont="1" applyBorder="1" applyAlignment="1" applyProtection="1">
      <alignment vertical="center"/>
    </xf>
    <xf numFmtId="0" fontId="33" fillId="0" borderId="0" xfId="9" applyBorder="1" applyAlignment="1" applyProtection="1">
      <alignment vertical="center"/>
    </xf>
    <xf numFmtId="0" fontId="6" fillId="3" borderId="0" xfId="9" applyFont="1" applyFill="1" applyBorder="1" applyAlignment="1" applyProtection="1">
      <alignment vertical="center"/>
    </xf>
    <xf numFmtId="0" fontId="40" fillId="0" borderId="0" xfId="9" applyFont="1" applyBorder="1" applyAlignment="1" applyProtection="1">
      <alignment vertical="center"/>
    </xf>
    <xf numFmtId="0" fontId="37" fillId="0" borderId="0" xfId="9" applyFont="1" applyBorder="1" applyAlignment="1" applyProtection="1">
      <alignment vertical="center"/>
    </xf>
    <xf numFmtId="0" fontId="37" fillId="2" borderId="1" xfId="9" applyFont="1" applyFill="1" applyBorder="1" applyAlignment="1" applyProtection="1">
      <alignment horizontal="center" vertical="center"/>
    </xf>
    <xf numFmtId="0" fontId="37" fillId="0" borderId="0" xfId="9" applyFont="1" applyBorder="1" applyAlignment="1" applyProtection="1">
      <alignment horizontal="centerContinuous" vertical="center"/>
    </xf>
    <xf numFmtId="0" fontId="38" fillId="3" borderId="0" xfId="9" applyFont="1" applyFill="1" applyBorder="1" applyAlignment="1" applyProtection="1">
      <alignment vertical="center" wrapText="1"/>
    </xf>
    <xf numFmtId="0" fontId="40" fillId="0" borderId="0" xfId="9" applyFont="1" applyBorder="1" applyAlignment="1" applyProtection="1">
      <alignment vertical="center" wrapText="1"/>
    </xf>
    <xf numFmtId="14" fontId="38" fillId="0" borderId="2" xfId="9" applyNumberFormat="1" applyFont="1" applyBorder="1" applyAlignment="1" applyProtection="1">
      <alignment vertical="center"/>
    </xf>
    <xf numFmtId="14" fontId="42" fillId="0" borderId="1" xfId="9" applyNumberFormat="1" applyFont="1" applyBorder="1" applyAlignment="1" applyProtection="1">
      <alignment horizontal="center" vertical="center" wrapText="1"/>
      <protection locked="0"/>
    </xf>
    <xf numFmtId="0" fontId="43" fillId="0" borderId="0" xfId="9" applyFont="1" applyBorder="1" applyAlignment="1" applyProtection="1">
      <alignment horizontal="left" vertical="center"/>
    </xf>
    <xf numFmtId="0" fontId="36" fillId="3" borderId="0" xfId="9" applyFont="1" applyFill="1" applyBorder="1" applyAlignment="1" applyProtection="1">
      <alignment vertical="center" wrapText="1"/>
    </xf>
    <xf numFmtId="0" fontId="38" fillId="0" borderId="0" xfId="9" applyFont="1" applyBorder="1" applyAlignment="1" applyProtection="1">
      <alignment horizontal="center" vertical="center"/>
    </xf>
    <xf numFmtId="0" fontId="6" fillId="3" borderId="0" xfId="9" applyFont="1" applyFill="1" applyBorder="1" applyAlignment="1" applyProtection="1">
      <alignment horizontal="left" vertical="center"/>
    </xf>
    <xf numFmtId="0" fontId="46" fillId="0" borderId="10" xfId="9" applyFont="1" applyBorder="1" applyAlignment="1" applyProtection="1">
      <alignment vertical="center" wrapText="1"/>
    </xf>
    <xf numFmtId="0" fontId="46" fillId="0" borderId="15" xfId="9" applyFont="1" applyBorder="1" applyAlignment="1" applyProtection="1">
      <alignment vertical="center" wrapText="1"/>
    </xf>
    <xf numFmtId="0" fontId="47" fillId="0" borderId="10" xfId="6" applyFont="1" applyBorder="1" applyAlignment="1" applyProtection="1">
      <alignment horizontal="right" vertical="center" wrapText="1"/>
    </xf>
    <xf numFmtId="0" fontId="37" fillId="0" borderId="15" xfId="6" applyFont="1" applyBorder="1" applyAlignment="1" applyProtection="1">
      <alignment horizontal="center" vertical="center" wrapText="1"/>
      <protection hidden="1"/>
    </xf>
    <xf numFmtId="0" fontId="47" fillId="0" borderId="15" xfId="6" applyFont="1" applyBorder="1" applyAlignment="1" applyProtection="1">
      <alignment vertical="center" wrapText="1"/>
    </xf>
    <xf numFmtId="0" fontId="47" fillId="0" borderId="12" xfId="6" applyFont="1" applyBorder="1" applyAlignment="1" applyProtection="1">
      <alignment vertical="center" wrapText="1"/>
    </xf>
    <xf numFmtId="0" fontId="41" fillId="0" borderId="0" xfId="6" applyFont="1" applyBorder="1" applyAlignment="1" applyProtection="1">
      <alignment horizontal="center" vertical="center" wrapText="1"/>
    </xf>
    <xf numFmtId="0" fontId="41" fillId="0" borderId="5" xfId="6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41" fillId="0" borderId="0" xfId="6" applyFont="1" applyBorder="1" applyAlignment="1" applyProtection="1">
      <alignment horizontal="center" vertical="center" wrapText="1"/>
      <protection locked="0"/>
    </xf>
    <xf numFmtId="0" fontId="40" fillId="0" borderId="5" xfId="6" applyFont="1" applyBorder="1" applyAlignment="1" applyProtection="1">
      <alignment horizontal="center" vertical="center" wrapText="1"/>
    </xf>
    <xf numFmtId="0" fontId="41" fillId="3" borderId="0" xfId="9" applyFont="1" applyFill="1" applyBorder="1" applyAlignment="1" applyProtection="1">
      <alignment vertical="center" wrapText="1"/>
    </xf>
    <xf numFmtId="0" fontId="40" fillId="0" borderId="7" xfId="6" applyFont="1" applyBorder="1" applyAlignment="1" applyProtection="1">
      <alignment horizontal="center" vertical="center" wrapText="1"/>
    </xf>
    <xf numFmtId="0" fontId="41" fillId="0" borderId="7" xfId="6" applyFont="1" applyBorder="1" applyAlignment="1" applyProtection="1">
      <alignment horizontal="center" vertical="center" wrapText="1"/>
    </xf>
    <xf numFmtId="0" fontId="41" fillId="0" borderId="2" xfId="6" applyFont="1" applyBorder="1" applyAlignment="1" applyProtection="1">
      <alignment horizontal="center" vertical="center" wrapText="1"/>
    </xf>
    <xf numFmtId="0" fontId="41" fillId="0" borderId="9" xfId="6" applyFont="1" applyBorder="1" applyAlignment="1" applyProtection="1">
      <alignment horizontal="center" vertical="center" wrapText="1"/>
    </xf>
    <xf numFmtId="0" fontId="38" fillId="0" borderId="33" xfId="9" applyFont="1" applyBorder="1" applyAlignment="1" applyProtection="1">
      <alignment horizontal="center" vertical="center"/>
    </xf>
    <xf numFmtId="10" fontId="38" fillId="0" borderId="22" xfId="8" applyNumberFormat="1" applyFont="1" applyFill="1" applyBorder="1" applyAlignment="1" applyProtection="1">
      <alignment vertical="center" wrapText="1"/>
      <protection hidden="1"/>
    </xf>
    <xf numFmtId="10" fontId="38" fillId="0" borderId="22" xfId="8" applyNumberFormat="1" applyFont="1" applyBorder="1" applyAlignment="1" applyProtection="1">
      <alignment vertical="center" wrapText="1"/>
      <protection hidden="1"/>
    </xf>
    <xf numFmtId="10" fontId="38" fillId="0" borderId="34" xfId="8" applyNumberFormat="1" applyFont="1" applyBorder="1" applyAlignment="1" applyProtection="1">
      <alignment vertical="center" wrapText="1"/>
      <protection hidden="1"/>
    </xf>
    <xf numFmtId="10" fontId="38" fillId="0" borderId="32" xfId="8" applyNumberFormat="1" applyFont="1" applyBorder="1" applyAlignment="1" applyProtection="1">
      <alignment horizontal="center" vertical="center" wrapText="1"/>
      <protection hidden="1"/>
    </xf>
    <xf numFmtId="0" fontId="0" fillId="3" borderId="0" xfId="0" applyFill="1" applyBorder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38" fillId="0" borderId="9" xfId="9" applyFont="1" applyBorder="1" applyAlignment="1" applyProtection="1">
      <alignment horizontal="center" vertical="center"/>
    </xf>
    <xf numFmtId="167" fontId="38" fillId="0" borderId="37" xfId="1" applyNumberFormat="1" applyFont="1" applyBorder="1" applyAlignment="1" applyProtection="1">
      <alignment horizontal="center" vertical="center" wrapText="1"/>
      <protection hidden="1"/>
    </xf>
    <xf numFmtId="4" fontId="37" fillId="1" borderId="11" xfId="9" applyNumberFormat="1" applyFont="1" applyFill="1" applyBorder="1" applyAlignment="1" applyProtection="1">
      <alignment horizontal="center" vertical="center"/>
    </xf>
    <xf numFmtId="0" fontId="38" fillId="3" borderId="0" xfId="9" applyFont="1" applyFill="1" applyBorder="1" applyAlignment="1" applyProtection="1">
      <alignment horizontal="center" vertical="center"/>
    </xf>
    <xf numFmtId="0" fontId="38" fillId="3" borderId="0" xfId="9" applyFont="1" applyFill="1" applyAlignment="1" applyProtection="1">
      <alignment horizontal="center" vertical="center"/>
    </xf>
    <xf numFmtId="44" fontId="38" fillId="0" borderId="32" xfId="1" applyFont="1" applyFill="1" applyBorder="1" applyAlignment="1" applyProtection="1">
      <alignment horizontal="center" vertical="center" wrapText="1"/>
      <protection hidden="1"/>
    </xf>
    <xf numFmtId="44" fontId="37" fillId="0" borderId="32" xfId="1" applyFont="1" applyFill="1" applyBorder="1" applyAlignment="1" applyProtection="1">
      <alignment horizontal="center" vertical="center" wrapText="1"/>
      <protection hidden="1"/>
    </xf>
    <xf numFmtId="0" fontId="37" fillId="3" borderId="0" xfId="9" applyFont="1" applyFill="1" applyBorder="1" applyAlignment="1" applyProtection="1">
      <alignment horizontal="center" vertical="center"/>
    </xf>
    <xf numFmtId="10" fontId="37" fillId="0" borderId="1" xfId="8" applyNumberFormat="1" applyFont="1" applyBorder="1" applyAlignment="1" applyProtection="1">
      <alignment horizontal="center" vertical="center" wrapText="1"/>
      <protection hidden="1"/>
    </xf>
    <xf numFmtId="0" fontId="37" fillId="3" borderId="0" xfId="9" applyFont="1" applyFill="1" applyBorder="1" applyAlignment="1" applyProtection="1">
      <alignment horizontal="right" vertical="center"/>
    </xf>
    <xf numFmtId="167" fontId="38" fillId="0" borderId="0" xfId="10" applyNumberFormat="1" applyFont="1" applyBorder="1" applyAlignment="1" applyProtection="1">
      <alignment horizontal="center" vertical="center"/>
    </xf>
    <xf numFmtId="0" fontId="38" fillId="3" borderId="0" xfId="9" applyFont="1" applyFill="1" applyBorder="1" applyAlignment="1" applyProtection="1">
      <alignment horizontal="right" vertical="center"/>
    </xf>
    <xf numFmtId="0" fontId="0" fillId="0" borderId="0" xfId="0" applyBorder="1" applyAlignment="1" applyProtection="1">
      <alignment vertical="center"/>
    </xf>
    <xf numFmtId="0" fontId="37" fillId="0" borderId="0" xfId="9" applyNumberFormat="1" applyFont="1" applyBorder="1" applyAlignment="1" applyProtection="1">
      <alignment vertical="center" wrapText="1"/>
    </xf>
    <xf numFmtId="0" fontId="38" fillId="0" borderId="0" xfId="9" applyNumberFormat="1" applyFont="1" applyBorder="1" applyAlignment="1" applyProtection="1">
      <alignment vertical="center" wrapText="1"/>
    </xf>
    <xf numFmtId="0" fontId="38" fillId="3" borderId="0" xfId="9" applyFont="1" applyFill="1" applyBorder="1" applyAlignment="1" applyProtection="1">
      <alignment vertical="center"/>
    </xf>
    <xf numFmtId="14" fontId="37" fillId="3" borderId="0" xfId="9" applyNumberFormat="1" applyFont="1" applyFill="1" applyBorder="1" applyAlignment="1" applyProtection="1">
      <alignment horizontal="center" vertical="center"/>
    </xf>
    <xf numFmtId="0" fontId="33" fillId="0" borderId="0" xfId="9" applyBorder="1" applyAlignment="1" applyProtection="1">
      <alignment horizontal="left" vertical="center"/>
    </xf>
    <xf numFmtId="0" fontId="33" fillId="0" borderId="26" xfId="9" applyBorder="1" applyAlignment="1" applyProtection="1">
      <alignment horizontal="left" vertical="center"/>
    </xf>
    <xf numFmtId="0" fontId="49" fillId="0" borderId="0" xfId="0" applyFont="1" applyAlignment="1" applyProtection="1">
      <alignment vertical="center"/>
      <protection locked="0"/>
    </xf>
    <xf numFmtId="0" fontId="33" fillId="0" borderId="0" xfId="9" applyFont="1" applyBorder="1" applyAlignment="1" applyProtection="1">
      <alignment horizontal="center" vertical="center"/>
    </xf>
    <xf numFmtId="0" fontId="33" fillId="0" borderId="0" xfId="9" applyFont="1" applyAlignment="1" applyProtection="1">
      <alignment vertical="center"/>
    </xf>
    <xf numFmtId="0" fontId="49" fillId="0" borderId="0" xfId="0" applyFont="1" applyBorder="1" applyAlignment="1" applyProtection="1">
      <alignment horizontal="center" vertical="center"/>
    </xf>
    <xf numFmtId="0" fontId="49" fillId="0" borderId="0" xfId="0" applyFont="1" applyAlignment="1" applyProtection="1">
      <alignment vertical="center"/>
    </xf>
    <xf numFmtId="4" fontId="38" fillId="3" borderId="0" xfId="9" applyNumberFormat="1" applyFont="1" applyFill="1" applyBorder="1" applyAlignment="1" applyProtection="1">
      <alignment vertic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" fillId="0" borderId="10" xfId="1" applyNumberFormat="1" applyFont="1" applyBorder="1" applyAlignment="1">
      <alignment horizontal="center" wrapText="1"/>
    </xf>
    <xf numFmtId="0" fontId="1" fillId="0" borderId="12" xfId="1" applyNumberFormat="1" applyFont="1" applyBorder="1" applyAlignment="1">
      <alignment horizontal="center" wrapText="1"/>
    </xf>
    <xf numFmtId="0" fontId="1" fillId="0" borderId="10" xfId="1" applyNumberFormat="1" applyFont="1" applyBorder="1" applyAlignment="1">
      <alignment horizontal="center"/>
    </xf>
    <xf numFmtId="0" fontId="1" fillId="0" borderId="12" xfId="1" applyNumberFormat="1" applyFont="1" applyBorder="1" applyAlignment="1">
      <alignment horizontal="center"/>
    </xf>
    <xf numFmtId="0" fontId="1" fillId="0" borderId="10" xfId="1" applyNumberFormat="1" applyFont="1" applyFill="1" applyBorder="1" applyAlignment="1">
      <alignment horizontal="center"/>
    </xf>
    <xf numFmtId="0" fontId="1" fillId="0" borderId="12" xfId="1" applyNumberFormat="1" applyFont="1" applyFill="1" applyBorder="1" applyAlignment="1">
      <alignment horizontal="center"/>
    </xf>
    <xf numFmtId="0" fontId="3" fillId="2" borderId="10" xfId="1" applyNumberFormat="1" applyFont="1" applyFill="1" applyBorder="1" applyAlignment="1">
      <alignment horizontal="center"/>
    </xf>
    <xf numFmtId="0" fontId="3" fillId="2" borderId="12" xfId="1" applyNumberFormat="1" applyFont="1" applyFill="1" applyBorder="1" applyAlignment="1">
      <alignment horizontal="center"/>
    </xf>
    <xf numFmtId="0" fontId="1" fillId="0" borderId="10" xfId="1" applyNumberFormat="1" applyFont="1" applyBorder="1" applyAlignment="1">
      <alignment horizontal="center" vertical="center"/>
    </xf>
    <xf numFmtId="0" fontId="1" fillId="0" borderId="12" xfId="1" applyNumberFormat="1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44" fontId="1" fillId="2" borderId="10" xfId="1" applyFont="1" applyFill="1" applyBorder="1" applyAlignment="1">
      <alignment horizontal="center"/>
    </xf>
    <xf numFmtId="44" fontId="1" fillId="2" borderId="12" xfId="1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0" xfId="1" applyNumberFormat="1" applyFont="1" applyBorder="1" applyAlignment="1">
      <alignment horizontal="center" vertical="top" wrapText="1"/>
    </xf>
    <xf numFmtId="0" fontId="1" fillId="0" borderId="12" xfId="1" applyNumberFormat="1" applyFont="1" applyBorder="1" applyAlignment="1">
      <alignment horizontal="center" vertical="top" wrapText="1"/>
    </xf>
    <xf numFmtId="0" fontId="0" fillId="0" borderId="10" xfId="0" applyNumberFormat="1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1" fillId="2" borderId="10" xfId="1" applyNumberFormat="1" applyFont="1" applyFill="1" applyBorder="1" applyAlignment="1">
      <alignment horizontal="center"/>
    </xf>
    <xf numFmtId="0" fontId="1" fillId="2" borderId="12" xfId="1" applyNumberFormat="1" applyFont="1" applyFill="1" applyBorder="1" applyAlignment="1">
      <alignment horizontal="center"/>
    </xf>
    <xf numFmtId="0" fontId="1" fillId="2" borderId="10" xfId="0" applyNumberFormat="1" applyFont="1" applyFill="1" applyBorder="1" applyAlignment="1">
      <alignment horizontal="center"/>
    </xf>
    <xf numFmtId="0" fontId="1" fillId="2" borderId="12" xfId="0" applyNumberFormat="1" applyFont="1" applyFill="1" applyBorder="1" applyAlignment="1">
      <alignment horizontal="center"/>
    </xf>
    <xf numFmtId="0" fontId="1" fillId="0" borderId="10" xfId="0" applyNumberFormat="1" applyFont="1" applyFill="1" applyBorder="1" applyAlignment="1">
      <alignment horizontal="center"/>
    </xf>
    <xf numFmtId="0" fontId="1" fillId="0" borderId="12" xfId="0" applyNumberFormat="1" applyFont="1" applyFill="1" applyBorder="1" applyAlignment="1">
      <alignment horizontal="center"/>
    </xf>
    <xf numFmtId="0" fontId="1" fillId="0" borderId="10" xfId="0" applyNumberFormat="1" applyFont="1" applyFill="1" applyBorder="1" applyAlignment="1">
      <alignment horizontal="center" wrapText="1"/>
    </xf>
    <xf numFmtId="0" fontId="1" fillId="0" borderId="12" xfId="0" applyNumberFormat="1" applyFont="1" applyFill="1" applyBorder="1" applyAlignment="1">
      <alignment horizontal="center" wrapText="1"/>
    </xf>
    <xf numFmtId="0" fontId="2" fillId="0" borderId="10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1" fillId="3" borderId="10" xfId="0" applyNumberFormat="1" applyFont="1" applyFill="1" applyBorder="1" applyAlignment="1">
      <alignment horizontal="center"/>
    </xf>
    <xf numFmtId="0" fontId="1" fillId="3" borderId="12" xfId="0" applyNumberFormat="1" applyFont="1" applyFill="1" applyBorder="1" applyAlignment="1">
      <alignment horizontal="center"/>
    </xf>
    <xf numFmtId="0" fontId="1" fillId="0" borderId="10" xfId="0" applyNumberFormat="1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" fillId="0" borderId="10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22" fillId="5" borderId="30" xfId="2" applyFont="1" applyFill="1" applyBorder="1" applyAlignment="1">
      <alignment horizontal="center" vertical="center" wrapText="1"/>
    </xf>
    <xf numFmtId="0" fontId="22" fillId="5" borderId="25" xfId="2" applyFont="1" applyFill="1" applyBorder="1" applyAlignment="1">
      <alignment horizontal="center" vertical="center" wrapText="1"/>
    </xf>
    <xf numFmtId="0" fontId="22" fillId="5" borderId="29" xfId="2" applyFont="1" applyFill="1" applyBorder="1" applyAlignment="1">
      <alignment horizontal="center" vertical="center" wrapText="1"/>
    </xf>
    <xf numFmtId="0" fontId="10" fillId="5" borderId="30" xfId="2" applyFont="1" applyFill="1" applyBorder="1" applyAlignment="1">
      <alignment horizontal="center" vertical="center" wrapText="1"/>
    </xf>
    <xf numFmtId="0" fontId="10" fillId="5" borderId="25" xfId="2" applyFont="1" applyFill="1" applyBorder="1" applyAlignment="1">
      <alignment horizontal="center" vertical="center" wrapText="1"/>
    </xf>
    <xf numFmtId="0" fontId="10" fillId="5" borderId="29" xfId="2" applyFont="1" applyFill="1" applyBorder="1" applyAlignment="1">
      <alignment horizontal="center" vertical="center" wrapText="1"/>
    </xf>
    <xf numFmtId="0" fontId="19" fillId="5" borderId="1" xfId="2" applyFont="1" applyFill="1" applyBorder="1" applyAlignment="1">
      <alignment horizontal="center" vertical="top" wrapText="1"/>
    </xf>
    <xf numFmtId="0" fontId="19" fillId="5" borderId="13" xfId="2" applyFont="1" applyFill="1" applyBorder="1" applyAlignment="1">
      <alignment horizontal="center" vertical="top" wrapText="1"/>
    </xf>
    <xf numFmtId="0" fontId="27" fillId="5" borderId="17" xfId="2" applyFont="1" applyFill="1" applyBorder="1" applyAlignment="1">
      <alignment horizontal="center" vertical="center" wrapText="1"/>
    </xf>
    <xf numFmtId="0" fontId="27" fillId="5" borderId="18" xfId="2" applyFont="1" applyFill="1" applyBorder="1" applyAlignment="1">
      <alignment horizontal="center" vertical="center" wrapText="1"/>
    </xf>
    <xf numFmtId="0" fontId="21" fillId="5" borderId="19" xfId="2" applyFont="1" applyFill="1" applyBorder="1" applyAlignment="1">
      <alignment horizontal="center" vertical="center" wrapText="1"/>
    </xf>
    <xf numFmtId="0" fontId="14" fillId="4" borderId="1" xfId="2" applyFill="1" applyBorder="1" applyAlignment="1">
      <alignment horizontal="left" vertical="top" wrapText="1"/>
    </xf>
    <xf numFmtId="0" fontId="15" fillId="0" borderId="4" xfId="2" applyFont="1" applyBorder="1" applyAlignment="1">
      <alignment horizontal="center"/>
    </xf>
    <xf numFmtId="0" fontId="15" fillId="0" borderId="0" xfId="2" applyFont="1" applyBorder="1" applyAlignment="1">
      <alignment horizontal="center"/>
    </xf>
    <xf numFmtId="0" fontId="15" fillId="0" borderId="2" xfId="2" applyFont="1" applyBorder="1" applyAlignment="1">
      <alignment horizontal="center" vertical="top" wrapText="1"/>
    </xf>
    <xf numFmtId="0" fontId="27" fillId="5" borderId="24" xfId="2" applyFont="1" applyFill="1" applyBorder="1" applyAlignment="1">
      <alignment horizontal="center" vertical="center" wrapText="1"/>
    </xf>
    <xf numFmtId="0" fontId="21" fillId="5" borderId="27" xfId="2" applyFont="1" applyFill="1" applyBorder="1" applyAlignment="1">
      <alignment horizontal="center" vertical="center" wrapText="1"/>
    </xf>
    <xf numFmtId="0" fontId="21" fillId="5" borderId="16" xfId="2" applyFont="1" applyFill="1" applyBorder="1" applyAlignment="1">
      <alignment horizontal="center" vertical="center" wrapText="1"/>
    </xf>
    <xf numFmtId="0" fontId="21" fillId="5" borderId="28" xfId="2" applyFont="1" applyFill="1" applyBorder="1" applyAlignment="1">
      <alignment horizontal="center" vertical="center" wrapText="1"/>
    </xf>
    <xf numFmtId="0" fontId="27" fillId="5" borderId="20" xfId="2" applyFont="1" applyFill="1" applyBorder="1" applyAlignment="1">
      <alignment horizontal="center" vertical="center" wrapText="1"/>
    </xf>
    <xf numFmtId="0" fontId="27" fillId="5" borderId="21" xfId="2" applyFont="1" applyFill="1" applyBorder="1" applyAlignment="1">
      <alignment horizontal="center" vertical="center" wrapText="1"/>
    </xf>
    <xf numFmtId="0" fontId="21" fillId="5" borderId="31" xfId="2" applyFont="1" applyFill="1" applyBorder="1" applyAlignment="1">
      <alignment horizontal="center" vertical="center" wrapText="1"/>
    </xf>
    <xf numFmtId="0" fontId="24" fillId="4" borderId="14" xfId="2" applyFont="1" applyFill="1" applyBorder="1" applyAlignment="1">
      <alignment horizontal="left" vertical="top" wrapText="1"/>
    </xf>
    <xf numFmtId="0" fontId="24" fillId="4" borderId="13" xfId="2" applyFont="1" applyFill="1" applyBorder="1" applyAlignment="1">
      <alignment horizontal="left" vertical="top" wrapText="1"/>
    </xf>
    <xf numFmtId="0" fontId="14" fillId="0" borderId="10" xfId="2" applyBorder="1" applyAlignment="1">
      <alignment horizontal="left" vertical="top" wrapText="1"/>
    </xf>
    <xf numFmtId="0" fontId="14" fillId="0" borderId="15" xfId="2" applyBorder="1" applyAlignment="1">
      <alignment horizontal="left" vertical="top" wrapText="1"/>
    </xf>
    <xf numFmtId="0" fontId="14" fillId="0" borderId="12" xfId="2" applyBorder="1" applyAlignment="1">
      <alignment horizontal="left" vertical="top" wrapText="1"/>
    </xf>
    <xf numFmtId="0" fontId="19" fillId="5" borderId="11" xfId="2" applyFont="1" applyFill="1" applyBorder="1" applyAlignment="1">
      <alignment horizontal="center" vertical="top" wrapText="1"/>
    </xf>
    <xf numFmtId="0" fontId="19" fillId="5" borderId="10" xfId="2" applyFont="1" applyFill="1" applyBorder="1" applyAlignment="1">
      <alignment horizontal="center" vertical="top" wrapText="1"/>
    </xf>
    <xf numFmtId="0" fontId="19" fillId="5" borderId="4" xfId="2" applyFont="1" applyFill="1" applyBorder="1" applyAlignment="1">
      <alignment horizontal="center" vertical="top" wrapText="1"/>
    </xf>
    <xf numFmtId="0" fontId="19" fillId="5" borderId="5" xfId="2" applyFont="1" applyFill="1" applyBorder="1" applyAlignment="1">
      <alignment horizontal="center" vertical="top" wrapText="1"/>
    </xf>
    <xf numFmtId="0" fontId="26" fillId="0" borderId="11" xfId="2" applyFont="1" applyBorder="1" applyAlignment="1">
      <alignment horizontal="center"/>
    </xf>
    <xf numFmtId="0" fontId="25" fillId="0" borderId="14" xfId="2" applyFont="1" applyBorder="1" applyAlignment="1">
      <alignment horizontal="center"/>
    </xf>
    <xf numFmtId="0" fontId="24" fillId="4" borderId="6" xfId="2" applyFont="1" applyFill="1" applyBorder="1" applyAlignment="1">
      <alignment horizontal="center" vertical="top" wrapText="1"/>
    </xf>
    <xf numFmtId="0" fontId="24" fillId="4" borderId="0" xfId="2" applyFont="1" applyFill="1" applyBorder="1" applyAlignment="1">
      <alignment horizontal="center" vertical="top" wrapText="1"/>
    </xf>
    <xf numFmtId="0" fontId="24" fillId="4" borderId="7" xfId="2" applyFont="1" applyFill="1" applyBorder="1" applyAlignment="1">
      <alignment horizontal="center" vertical="top" wrapText="1"/>
    </xf>
    <xf numFmtId="0" fontId="14" fillId="0" borderId="6" xfId="2" applyBorder="1" applyAlignment="1">
      <alignment horizontal="left" vertical="top" wrapText="1"/>
    </xf>
    <xf numFmtId="0" fontId="14" fillId="0" borderId="0" xfId="2" applyBorder="1" applyAlignment="1">
      <alignment horizontal="left" vertical="top" wrapText="1"/>
    </xf>
    <xf numFmtId="0" fontId="14" fillId="0" borderId="7" xfId="2" applyBorder="1" applyAlignment="1">
      <alignment horizontal="left" vertical="top" wrapText="1"/>
    </xf>
    <xf numFmtId="0" fontId="34" fillId="0" borderId="0" xfId="9" applyFont="1" applyBorder="1" applyAlignment="1" applyProtection="1">
      <alignment horizontal="center" vertical="center" wrapText="1"/>
      <protection locked="0"/>
    </xf>
    <xf numFmtId="0" fontId="35" fillId="0" borderId="0" xfId="9" applyFont="1" applyBorder="1" applyAlignment="1" applyProtection="1">
      <alignment horizontal="center" vertical="center"/>
    </xf>
    <xf numFmtId="0" fontId="35" fillId="0" borderId="0" xfId="9" applyFont="1" applyAlignment="1" applyProtection="1">
      <alignment horizontal="center" vertical="center"/>
    </xf>
    <xf numFmtId="0" fontId="37" fillId="0" borderId="0" xfId="9" applyFont="1" applyBorder="1" applyAlignment="1" applyProtection="1">
      <alignment horizontal="center" vertical="center"/>
    </xf>
    <xf numFmtId="0" fontId="37" fillId="2" borderId="1" xfId="9" applyFont="1" applyFill="1" applyBorder="1" applyAlignment="1" applyProtection="1">
      <alignment horizontal="left" vertical="center"/>
    </xf>
    <xf numFmtId="49" fontId="39" fillId="0" borderId="1" xfId="9" applyNumberFormat="1" applyFont="1" applyBorder="1" applyAlignment="1" applyProtection="1">
      <alignment horizontal="left" vertical="center" wrapText="1" indent="1"/>
      <protection locked="0"/>
    </xf>
    <xf numFmtId="0" fontId="37" fillId="2" borderId="1" xfId="9" applyFont="1" applyFill="1" applyBorder="1" applyAlignment="1" applyProtection="1">
      <alignment horizontal="center" vertical="center" wrapText="1"/>
    </xf>
    <xf numFmtId="49" fontId="41" fillId="0" borderId="1" xfId="9" applyNumberFormat="1" applyFont="1" applyBorder="1" applyAlignment="1" applyProtection="1">
      <alignment horizontal="left" vertical="center" wrapText="1" indent="1"/>
      <protection locked="0"/>
    </xf>
    <xf numFmtId="0" fontId="42" fillId="0" borderId="1" xfId="9" applyFont="1" applyBorder="1" applyAlignment="1" applyProtection="1">
      <alignment horizontal="center" vertical="center" wrapText="1"/>
      <protection locked="0"/>
    </xf>
    <xf numFmtId="49" fontId="38" fillId="0" borderId="1" xfId="9" applyNumberFormat="1" applyFont="1" applyBorder="1" applyAlignment="1" applyProtection="1">
      <alignment horizontal="left" vertical="center" wrapText="1" indent="1"/>
      <protection locked="0"/>
    </xf>
    <xf numFmtId="0" fontId="44" fillId="2" borderId="1" xfId="9" applyFont="1" applyFill="1" applyBorder="1" applyAlignment="1" applyProtection="1">
      <alignment horizontal="center" vertical="center" textRotation="90" wrapText="1"/>
    </xf>
    <xf numFmtId="0" fontId="37" fillId="0" borderId="1" xfId="9" applyFont="1" applyBorder="1" applyAlignment="1" applyProtection="1">
      <alignment horizontal="center" vertical="center" wrapText="1"/>
    </xf>
    <xf numFmtId="0" fontId="37" fillId="0" borderId="10" xfId="9" applyFont="1" applyBorder="1" applyAlignment="1" applyProtection="1">
      <alignment horizontal="center" vertical="center" wrapText="1"/>
    </xf>
    <xf numFmtId="0" fontId="38" fillId="0" borderId="2" xfId="9" applyFont="1" applyBorder="1" applyAlignment="1" applyProtection="1">
      <alignment horizontal="left" vertical="center" wrapText="1"/>
    </xf>
    <xf numFmtId="0" fontId="38" fillId="0" borderId="15" xfId="9" applyFont="1" applyBorder="1" applyAlignment="1" applyProtection="1">
      <alignment horizontal="left" vertical="center" wrapText="1"/>
    </xf>
    <xf numFmtId="0" fontId="38" fillId="0" borderId="12" xfId="9" applyFont="1" applyBorder="1" applyAlignment="1" applyProtection="1">
      <alignment horizontal="left" vertical="center" wrapText="1"/>
    </xf>
    <xf numFmtId="0" fontId="38" fillId="0" borderId="15" xfId="9" applyFont="1" applyBorder="1" applyAlignment="1" applyProtection="1">
      <alignment horizontal="left" vertical="center" wrapText="1"/>
      <protection hidden="1"/>
    </xf>
    <xf numFmtId="0" fontId="38" fillId="0" borderId="12" xfId="9" applyFont="1" applyBorder="1" applyAlignment="1" applyProtection="1">
      <alignment horizontal="left" vertical="center" wrapText="1"/>
      <protection hidden="1"/>
    </xf>
    <xf numFmtId="0" fontId="37" fillId="2" borderId="11" xfId="9" applyFont="1" applyFill="1" applyBorder="1" applyAlignment="1" applyProtection="1">
      <alignment horizontal="center" vertical="center" textRotation="90"/>
    </xf>
    <xf numFmtId="0" fontId="37" fillId="2" borderId="14" xfId="9" applyFont="1" applyFill="1" applyBorder="1" applyAlignment="1" applyProtection="1">
      <alignment horizontal="center" vertical="center" textRotation="90"/>
    </xf>
    <xf numFmtId="0" fontId="37" fillId="2" borderId="3" xfId="9" applyFont="1" applyFill="1" applyBorder="1" applyAlignment="1" applyProtection="1">
      <alignment horizontal="center" vertical="center"/>
    </xf>
    <xf numFmtId="0" fontId="37" fillId="2" borderId="5" xfId="9" applyFont="1" applyFill="1" applyBorder="1" applyAlignment="1" applyProtection="1">
      <alignment horizontal="center" vertical="center"/>
    </xf>
    <xf numFmtId="0" fontId="37" fillId="2" borderId="6" xfId="9" applyFont="1" applyFill="1" applyBorder="1" applyAlignment="1" applyProtection="1">
      <alignment horizontal="center" vertical="center"/>
    </xf>
    <xf numFmtId="0" fontId="37" fillId="2" borderId="7" xfId="9" applyFont="1" applyFill="1" applyBorder="1" applyAlignment="1" applyProtection="1">
      <alignment horizontal="center" vertical="center"/>
    </xf>
    <xf numFmtId="0" fontId="37" fillId="2" borderId="1" xfId="9" applyFont="1" applyFill="1" applyBorder="1" applyAlignment="1" applyProtection="1">
      <alignment horizontal="center" vertical="center"/>
    </xf>
    <xf numFmtId="0" fontId="37" fillId="2" borderId="15" xfId="9" applyFont="1" applyFill="1" applyBorder="1" applyAlignment="1" applyProtection="1">
      <alignment horizontal="center" vertical="center"/>
    </xf>
    <xf numFmtId="0" fontId="37" fillId="2" borderId="12" xfId="9" applyFont="1" applyFill="1" applyBorder="1" applyAlignment="1" applyProtection="1">
      <alignment horizontal="center" vertical="center"/>
    </xf>
    <xf numFmtId="4" fontId="37" fillId="2" borderId="11" xfId="9" applyNumberFormat="1" applyFont="1" applyFill="1" applyBorder="1" applyAlignment="1" applyProtection="1">
      <alignment horizontal="center" vertical="center"/>
    </xf>
    <xf numFmtId="4" fontId="37" fillId="2" borderId="14" xfId="9" applyNumberFormat="1" applyFont="1" applyFill="1" applyBorder="1" applyAlignment="1" applyProtection="1">
      <alignment horizontal="center" vertical="center"/>
    </xf>
    <xf numFmtId="0" fontId="46" fillId="0" borderId="15" xfId="9" applyFont="1" applyBorder="1" applyAlignment="1" applyProtection="1">
      <alignment horizontal="center" vertical="center" wrapText="1"/>
    </xf>
    <xf numFmtId="0" fontId="46" fillId="0" borderId="12" xfId="9" applyFont="1" applyBorder="1" applyAlignment="1" applyProtection="1">
      <alignment horizontal="center" vertical="center" wrapText="1"/>
    </xf>
    <xf numFmtId="0" fontId="37" fillId="0" borderId="10" xfId="6" applyFont="1" applyBorder="1" applyAlignment="1" applyProtection="1">
      <alignment horizontal="right" vertical="center" wrapText="1"/>
    </xf>
    <xf numFmtId="0" fontId="37" fillId="0" borderId="15" xfId="6" applyFont="1" applyBorder="1" applyAlignment="1" applyProtection="1">
      <alignment horizontal="right" vertical="center" wrapText="1"/>
    </xf>
    <xf numFmtId="0" fontId="37" fillId="0" borderId="15" xfId="6" applyFont="1" applyBorder="1" applyAlignment="1" applyProtection="1">
      <alignment horizontal="left" vertical="center" wrapText="1"/>
    </xf>
    <xf numFmtId="0" fontId="37" fillId="0" borderId="12" xfId="6" applyFont="1" applyBorder="1" applyAlignment="1" applyProtection="1">
      <alignment horizontal="left" vertical="center" wrapText="1"/>
    </xf>
    <xf numFmtId="0" fontId="41" fillId="0" borderId="6" xfId="6" applyFont="1" applyBorder="1" applyAlignment="1" applyProtection="1">
      <alignment horizontal="left" vertical="center" wrapText="1" indent="1"/>
    </xf>
    <xf numFmtId="0" fontId="41" fillId="0" borderId="0" xfId="6" applyFont="1" applyBorder="1" applyAlignment="1" applyProtection="1">
      <alignment horizontal="left" vertical="center" wrapText="1" indent="1"/>
    </xf>
    <xf numFmtId="0" fontId="37" fillId="0" borderId="11" xfId="9" applyFont="1" applyBorder="1" applyAlignment="1" applyProtection="1">
      <alignment horizontal="center" vertical="center"/>
    </xf>
    <xf numFmtId="0" fontId="37" fillId="0" borderId="13" xfId="9" applyFont="1" applyBorder="1" applyAlignment="1" applyProtection="1">
      <alignment horizontal="center" vertical="center"/>
    </xf>
    <xf numFmtId="0" fontId="37" fillId="0" borderId="3" xfId="9" applyFont="1" applyBorder="1" applyAlignment="1" applyProtection="1">
      <alignment horizontal="center" vertical="center" wrapText="1"/>
      <protection locked="0"/>
    </xf>
    <xf numFmtId="0" fontId="37" fillId="0" borderId="5" xfId="9" applyFont="1" applyBorder="1" applyAlignment="1" applyProtection="1">
      <alignment horizontal="center" vertical="center" wrapText="1"/>
      <protection locked="0"/>
    </xf>
    <xf numFmtId="0" fontId="37" fillId="0" borderId="8" xfId="9" applyFont="1" applyBorder="1" applyAlignment="1" applyProtection="1">
      <alignment horizontal="center" vertical="center" wrapText="1"/>
      <protection locked="0"/>
    </xf>
    <xf numFmtId="0" fontId="37" fillId="0" borderId="9" xfId="9" applyFont="1" applyBorder="1" applyAlignment="1" applyProtection="1">
      <alignment horizontal="center" vertical="center" wrapText="1"/>
      <protection locked="0"/>
    </xf>
    <xf numFmtId="10" fontId="38" fillId="0" borderId="34" xfId="8" applyNumberFormat="1" applyFont="1" applyFill="1" applyBorder="1" applyAlignment="1" applyProtection="1">
      <alignment horizontal="center" vertical="center" wrapText="1"/>
      <protection hidden="1"/>
    </xf>
    <xf numFmtId="10" fontId="38" fillId="0" borderId="33" xfId="8" applyNumberFormat="1" applyFont="1" applyFill="1" applyBorder="1" applyAlignment="1" applyProtection="1">
      <alignment horizontal="center" vertical="center" wrapText="1"/>
      <protection hidden="1"/>
    </xf>
    <xf numFmtId="10" fontId="38" fillId="0" borderId="34" xfId="8" applyNumberFormat="1" applyFont="1" applyBorder="1" applyAlignment="1" applyProtection="1">
      <alignment horizontal="center" vertical="center" wrapText="1"/>
      <protection hidden="1"/>
    </xf>
    <xf numFmtId="10" fontId="38" fillId="0" borderId="33" xfId="8" applyNumberFormat="1" applyFont="1" applyBorder="1" applyAlignment="1" applyProtection="1">
      <alignment horizontal="center" vertical="center" wrapText="1"/>
      <protection hidden="1"/>
    </xf>
    <xf numFmtId="43" fontId="38" fillId="0" borderId="23" xfId="7" applyFont="1" applyBorder="1" applyAlignment="1" applyProtection="1">
      <alignment horizontal="center" vertical="center" wrapText="1"/>
      <protection locked="0"/>
    </xf>
    <xf numFmtId="43" fontId="38" fillId="0" borderId="35" xfId="7" applyFont="1" applyBorder="1" applyAlignment="1" applyProtection="1">
      <alignment horizontal="center" vertical="center" wrapText="1"/>
      <protection locked="0"/>
    </xf>
    <xf numFmtId="43" fontId="38" fillId="0" borderId="36" xfId="7" applyFont="1" applyBorder="1" applyAlignment="1" applyProtection="1">
      <alignment horizontal="center" vertical="center" wrapText="1"/>
      <protection locked="0"/>
    </xf>
    <xf numFmtId="0" fontId="41" fillId="0" borderId="8" xfId="6" applyFont="1" applyBorder="1" applyAlignment="1" applyProtection="1">
      <alignment horizontal="left" vertical="center" wrapText="1" indent="1"/>
    </xf>
    <xf numFmtId="0" fontId="41" fillId="0" borderId="2" xfId="6" applyFont="1" applyBorder="1" applyAlignment="1" applyProtection="1">
      <alignment horizontal="left" vertical="center" wrapText="1" indent="1"/>
    </xf>
    <xf numFmtId="4" fontId="37" fillId="1" borderId="10" xfId="9" applyNumberFormat="1" applyFont="1" applyFill="1" applyBorder="1" applyAlignment="1" applyProtection="1">
      <alignment horizontal="center" vertical="center"/>
    </xf>
    <xf numFmtId="4" fontId="37" fillId="1" borderId="15" xfId="9" applyNumberFormat="1" applyFont="1" applyFill="1" applyBorder="1" applyAlignment="1" applyProtection="1">
      <alignment horizontal="center" vertical="center"/>
    </xf>
    <xf numFmtId="4" fontId="37" fillId="1" borderId="12" xfId="9" applyNumberFormat="1" applyFont="1" applyFill="1" applyBorder="1" applyAlignment="1" applyProtection="1">
      <alignment horizontal="center" vertical="center"/>
    </xf>
    <xf numFmtId="44" fontId="38" fillId="0" borderId="10" xfId="1" applyFont="1" applyBorder="1" applyAlignment="1" applyProtection="1">
      <alignment horizontal="center" vertical="center" wrapText="1"/>
      <protection hidden="1"/>
    </xf>
    <xf numFmtId="44" fontId="38" fillId="0" borderId="15" xfId="1" applyFont="1" applyBorder="1" applyAlignment="1" applyProtection="1">
      <alignment horizontal="center" vertical="center" wrapText="1"/>
      <protection hidden="1"/>
    </xf>
    <xf numFmtId="44" fontId="38" fillId="0" borderId="12" xfId="1" applyFont="1" applyBorder="1" applyAlignment="1" applyProtection="1">
      <alignment horizontal="center" vertical="center" wrapText="1"/>
      <protection hidden="1"/>
    </xf>
    <xf numFmtId="44" fontId="38" fillId="0" borderId="10" xfId="1" applyFont="1" applyBorder="1" applyAlignment="1" applyProtection="1">
      <alignment horizontal="center" vertical="center" wrapText="1"/>
      <protection locked="0"/>
    </xf>
    <xf numFmtId="44" fontId="38" fillId="0" borderId="15" xfId="1" applyFont="1" applyBorder="1" applyAlignment="1" applyProtection="1">
      <alignment horizontal="center" vertical="center" wrapText="1"/>
      <protection locked="0"/>
    </xf>
    <xf numFmtId="44" fontId="38" fillId="0" borderId="12" xfId="1" applyFont="1" applyBorder="1" applyAlignment="1" applyProtection="1">
      <alignment horizontal="center" vertical="center" wrapText="1"/>
      <protection locked="0"/>
    </xf>
    <xf numFmtId="0" fontId="49" fillId="0" borderId="0" xfId="0" applyFont="1" applyBorder="1" applyAlignment="1" applyProtection="1">
      <alignment horizontal="center" vertical="center"/>
      <protection locked="0"/>
    </xf>
    <xf numFmtId="0" fontId="49" fillId="0" borderId="0" xfId="0" applyFont="1" applyAlignment="1" applyProtection="1">
      <alignment horizontal="center" vertical="center"/>
      <protection locked="0"/>
    </xf>
    <xf numFmtId="0" fontId="37" fillId="2" borderId="1" xfId="9" applyFont="1" applyFill="1" applyBorder="1" applyAlignment="1" applyProtection="1">
      <alignment horizontal="left" vertical="center" wrapText="1"/>
    </xf>
    <xf numFmtId="10" fontId="38" fillId="0" borderId="10" xfId="8" applyNumberFormat="1" applyFont="1" applyBorder="1" applyAlignment="1" applyProtection="1">
      <alignment horizontal="center" vertical="center" wrapText="1"/>
      <protection hidden="1"/>
    </xf>
    <xf numFmtId="10" fontId="38" fillId="0" borderId="15" xfId="8" applyNumberFormat="1" applyFont="1" applyBorder="1" applyAlignment="1" applyProtection="1">
      <alignment horizontal="center" vertical="center" wrapText="1"/>
      <protection hidden="1"/>
    </xf>
    <xf numFmtId="10" fontId="38" fillId="0" borderId="12" xfId="8" applyNumberFormat="1" applyFont="1" applyBorder="1" applyAlignment="1" applyProtection="1">
      <alignment horizontal="center" vertical="center" wrapText="1"/>
      <protection hidden="1"/>
    </xf>
    <xf numFmtId="0" fontId="48" fillId="0" borderId="0" xfId="9" applyFont="1" applyBorder="1" applyAlignment="1" applyProtection="1">
      <alignment horizontal="left" vertical="center" wrapText="1"/>
    </xf>
    <xf numFmtId="0" fontId="33" fillId="0" borderId="0" xfId="9" applyBorder="1" applyAlignment="1" applyProtection="1">
      <alignment horizontal="left" vertical="center"/>
    </xf>
    <xf numFmtId="0" fontId="38" fillId="0" borderId="0" xfId="9" applyFont="1" applyBorder="1" applyAlignment="1" applyProtection="1">
      <alignment horizontal="left" vertical="center" wrapText="1"/>
      <protection locked="0"/>
    </xf>
    <xf numFmtId="0" fontId="33" fillId="0" borderId="0" xfId="9" applyFont="1" applyBorder="1" applyAlignment="1" applyProtection="1">
      <alignment horizontal="center" vertical="center"/>
      <protection locked="0"/>
    </xf>
  </cellXfs>
  <cellStyles count="11">
    <cellStyle name="Excel Built-in Explanatory Text" xfId="3"/>
    <cellStyle name="Moeda" xfId="1" builtinId="4"/>
    <cellStyle name="Moeda 2" xfId="5"/>
    <cellStyle name="Moeda 2 2" xfId="10"/>
    <cellStyle name="Normal" xfId="0" builtinId="0"/>
    <cellStyle name="Normal 2" xfId="2"/>
    <cellStyle name="Normal 2 2" xfId="9"/>
    <cellStyle name="Normal 3" xfId="6"/>
    <cellStyle name="Porcentagem" xfId="8" builtinId="5"/>
    <cellStyle name="Porcentagem 2" xfId="4"/>
    <cellStyle name="Separador de milhares" xfId="7" builtinId="3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b/>
        <i val="0"/>
        <color rgb="FF7030A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3030711</xdr:colOff>
      <xdr:row>0</xdr:row>
      <xdr:rowOff>82602</xdr:rowOff>
    </xdr:from>
    <xdr:to>
      <xdr:col>3</xdr:col>
      <xdr:colOff>3712029</xdr:colOff>
      <xdr:row>5</xdr:row>
      <xdr:rowOff>163285</xdr:rowOff>
    </xdr:to>
    <xdr:pic>
      <xdr:nvPicPr>
        <xdr:cNvPr id="3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382025" y="82602"/>
          <a:ext cx="681318" cy="10603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3724167</xdr:colOff>
      <xdr:row>1</xdr:row>
      <xdr:rowOff>108002</xdr:rowOff>
    </xdr:from>
    <xdr:to>
      <xdr:col>3</xdr:col>
      <xdr:colOff>4451349</xdr:colOff>
      <xdr:row>6</xdr:row>
      <xdr:rowOff>188685</xdr:rowOff>
    </xdr:to>
    <xdr:pic>
      <xdr:nvPicPr>
        <xdr:cNvPr id="2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 flipH="1">
          <a:off x="5843480" y="298502"/>
          <a:ext cx="727182" cy="103318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362336</xdr:colOff>
      <xdr:row>0</xdr:row>
      <xdr:rowOff>71798</xdr:rowOff>
    </xdr:from>
    <xdr:to>
      <xdr:col>7</xdr:col>
      <xdr:colOff>971411</xdr:colOff>
      <xdr:row>5</xdr:row>
      <xdr:rowOff>129668</xdr:rowOff>
    </xdr:to>
    <xdr:pic>
      <xdr:nvPicPr>
        <xdr:cNvPr id="2" name="Figura1">
          <a:extLst>
            <a:ext uri="{FF2B5EF4-FFF2-40B4-BE49-F238E27FC236}">
              <a16:creationId xmlns:a16="http://schemas.microsoft.com/office/drawing/2014/main" xmlns="" id="{00000000-0008-0000-04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061586" y="71798"/>
          <a:ext cx="609075" cy="8516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</xdr:rowOff>
    </xdr:from>
    <xdr:to>
      <xdr:col>13</xdr:col>
      <xdr:colOff>1424668</xdr:colOff>
      <xdr:row>36</xdr:row>
      <xdr:rowOff>219074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0" y="7877175"/>
          <a:ext cx="10025743" cy="186689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/>
            <a:t>OBSERVAÇÃO CONFORME: </a:t>
          </a:r>
        </a:p>
        <a:p>
          <a:endParaRPr lang="pt-BR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Decreto n.º 66.173 de 27/10/2021 _ "a liberação dos recursos, considerando o valor total destes, observará o seguinte: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até R$ 500.000,00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(quinhentos mil reais), em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parcela única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entre R$ 500.000,00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(quinhentos mil reais)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R$1.000.000,00 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(um milhão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2 (duas) parcelas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igualmente divididas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entre R$ 1.000.000,00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(hum milhão de reais)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 R$ 5.000.000,00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(cinco milhões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3 (três) parcelas,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a primeira de 30% (trinta por cento)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acima de R$ 5.000.000,00 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(cinco milhões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parcelas sucessivas, conforme estipular o respectivo instrumento,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a primeira de 30% (trinta por cento)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/>
            <a:t/>
          </a:r>
          <a:br>
            <a:rPr lang="pt-BR"/>
          </a:b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217715</xdr:colOff>
      <xdr:row>0</xdr:row>
      <xdr:rowOff>27215</xdr:rowOff>
    </xdr:from>
    <xdr:to>
      <xdr:col>1</xdr:col>
      <xdr:colOff>693965</xdr:colOff>
      <xdr:row>4</xdr:row>
      <xdr:rowOff>81365</xdr:rowOff>
    </xdr:to>
    <xdr:pic>
      <xdr:nvPicPr>
        <xdr:cNvPr id="3" name="Imagem 2" descr="brasão oficial pp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7715" y="27215"/>
          <a:ext cx="885825" cy="1178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81"/>
  <sheetViews>
    <sheetView tabSelected="1" view="pageBreakPreview" topLeftCell="A345" zoomScale="120" zoomScaleNormal="150" zoomScaleSheetLayoutView="120" workbookViewId="0">
      <selection activeCell="J371" sqref="J371"/>
    </sheetView>
  </sheetViews>
  <sheetFormatPr defaultRowHeight="15"/>
  <cols>
    <col min="1" max="1" width="7.5703125" customWidth="1"/>
    <col min="2" max="2" width="14" customWidth="1"/>
    <col min="3" max="3" width="13.28515625" customWidth="1"/>
    <col min="4" max="4" width="80.85546875" customWidth="1"/>
    <col min="6" max="6" width="11" customWidth="1"/>
    <col min="7" max="7" width="15.28515625" customWidth="1"/>
    <col min="8" max="8" width="20.28515625" customWidth="1"/>
    <col min="10" max="10" width="17.85546875" customWidth="1"/>
    <col min="11" max="11" width="13.7109375" bestFit="1" customWidth="1"/>
  </cols>
  <sheetData>
    <row r="1" spans="1:8" ht="15" customHeight="1">
      <c r="A1" s="254" t="s">
        <v>28</v>
      </c>
      <c r="B1" s="255"/>
      <c r="C1" s="255"/>
      <c r="D1" s="255"/>
      <c r="E1" s="255"/>
      <c r="F1" s="255"/>
      <c r="G1" s="255"/>
      <c r="H1" s="256"/>
    </row>
    <row r="2" spans="1:8" ht="15" customHeight="1">
      <c r="A2" s="257"/>
      <c r="B2" s="258"/>
      <c r="C2" s="258"/>
      <c r="D2" s="258"/>
      <c r="E2" s="258"/>
      <c r="F2" s="258"/>
      <c r="G2" s="258"/>
      <c r="H2" s="259"/>
    </row>
    <row r="3" spans="1:8" ht="15" customHeight="1">
      <c r="A3" s="257"/>
      <c r="B3" s="258"/>
      <c r="C3" s="258"/>
      <c r="D3" s="258"/>
      <c r="E3" s="258"/>
      <c r="F3" s="258"/>
      <c r="G3" s="258"/>
      <c r="H3" s="259"/>
    </row>
    <row r="4" spans="1:8" ht="15" customHeight="1">
      <c r="A4" s="257"/>
      <c r="B4" s="258"/>
      <c r="C4" s="258"/>
      <c r="D4" s="258"/>
      <c r="E4" s="258"/>
      <c r="F4" s="258"/>
      <c r="G4" s="258"/>
      <c r="H4" s="259"/>
    </row>
    <row r="5" spans="1:8" ht="15" customHeight="1">
      <c r="A5" s="257"/>
      <c r="B5" s="258"/>
      <c r="C5" s="258"/>
      <c r="D5" s="258"/>
      <c r="E5" s="258"/>
      <c r="F5" s="258"/>
      <c r="G5" s="258"/>
      <c r="H5" s="259"/>
    </row>
    <row r="6" spans="1:8" ht="15" customHeight="1">
      <c r="A6" s="257"/>
      <c r="B6" s="258"/>
      <c r="C6" s="258"/>
      <c r="D6" s="258"/>
      <c r="E6" s="258"/>
      <c r="F6" s="258"/>
      <c r="G6" s="258"/>
      <c r="H6" s="259"/>
    </row>
    <row r="7" spans="1:8" ht="15" customHeight="1">
      <c r="A7" s="257"/>
      <c r="B7" s="258"/>
      <c r="C7" s="258"/>
      <c r="D7" s="258"/>
      <c r="E7" s="258"/>
      <c r="F7" s="258"/>
      <c r="G7" s="258"/>
      <c r="H7" s="259"/>
    </row>
    <row r="8" spans="1:8" ht="15" customHeight="1">
      <c r="A8" s="257"/>
      <c r="B8" s="258"/>
      <c r="C8" s="258"/>
      <c r="D8" s="258"/>
      <c r="E8" s="258"/>
      <c r="F8" s="258"/>
      <c r="G8" s="258"/>
      <c r="H8" s="259"/>
    </row>
    <row r="9" spans="1:8" ht="15" customHeight="1">
      <c r="A9" s="24"/>
      <c r="B9" s="25"/>
      <c r="C9" s="25"/>
      <c r="D9" s="25"/>
      <c r="E9" s="25"/>
      <c r="F9" s="25"/>
      <c r="G9" s="25"/>
      <c r="H9" s="26"/>
    </row>
    <row r="10" spans="1:8" ht="15" customHeight="1">
      <c r="A10" s="274" t="s">
        <v>8</v>
      </c>
      <c r="B10" s="275"/>
      <c r="C10" s="275"/>
      <c r="D10" s="275"/>
      <c r="E10" s="275"/>
      <c r="F10" s="275"/>
      <c r="G10" s="275"/>
      <c r="H10" s="276"/>
    </row>
    <row r="11" spans="1:8" ht="15" customHeight="1">
      <c r="A11" s="3"/>
      <c r="B11" s="270" t="s">
        <v>735</v>
      </c>
      <c r="C11" s="270"/>
      <c r="D11" s="270"/>
      <c r="E11" s="270"/>
      <c r="F11" s="270"/>
      <c r="G11" s="270"/>
      <c r="H11" s="271"/>
    </row>
    <row r="12" spans="1:8" ht="15" customHeight="1">
      <c r="A12" s="3"/>
      <c r="B12" s="272" t="s">
        <v>29</v>
      </c>
      <c r="C12" s="272"/>
      <c r="D12" s="272"/>
      <c r="E12" s="272"/>
      <c r="F12" s="272"/>
      <c r="G12" s="272"/>
      <c r="H12" s="273"/>
    </row>
    <row r="13" spans="1:8" ht="15" customHeight="1">
      <c r="A13" s="3"/>
      <c r="B13" s="143" t="s">
        <v>788</v>
      </c>
      <c r="C13" s="141"/>
      <c r="D13" s="141"/>
      <c r="E13" s="141"/>
      <c r="F13" s="141"/>
      <c r="G13" s="141"/>
      <c r="H13" s="142"/>
    </row>
    <row r="14" spans="1:8" ht="15" customHeight="1">
      <c r="A14" s="4"/>
      <c r="B14" s="5" t="s">
        <v>887</v>
      </c>
      <c r="C14" s="5"/>
      <c r="D14" s="5" t="s">
        <v>817</v>
      </c>
      <c r="E14" s="268" t="s">
        <v>787</v>
      </c>
      <c r="F14" s="268"/>
      <c r="G14" s="268"/>
      <c r="H14" s="269"/>
    </row>
    <row r="15" spans="1:8" ht="25.5">
      <c r="A15" s="8" t="s">
        <v>0</v>
      </c>
      <c r="B15" s="9" t="s">
        <v>1</v>
      </c>
      <c r="C15" s="9" t="s">
        <v>2</v>
      </c>
      <c r="D15" s="8" t="s">
        <v>3</v>
      </c>
      <c r="E15" s="8" t="s">
        <v>4</v>
      </c>
      <c r="F15" s="8" t="s">
        <v>5</v>
      </c>
      <c r="G15" s="9" t="s">
        <v>6</v>
      </c>
      <c r="H15" s="9" t="s">
        <v>7</v>
      </c>
    </row>
    <row r="16" spans="1:8" ht="4.5" customHeight="1">
      <c r="A16" s="1"/>
      <c r="B16" s="1"/>
      <c r="C16" s="1"/>
      <c r="D16" s="1"/>
      <c r="E16" s="1"/>
      <c r="F16" s="1"/>
      <c r="G16" s="1"/>
      <c r="H16" s="1"/>
    </row>
    <row r="17" spans="1:8" ht="18.75" customHeight="1">
      <c r="A17" s="12"/>
      <c r="B17" s="2"/>
      <c r="C17" s="2"/>
      <c r="D17" s="34"/>
      <c r="E17" s="2"/>
      <c r="F17" s="2"/>
      <c r="G17" s="2"/>
      <c r="H17" s="2"/>
    </row>
    <row r="18" spans="1:8" ht="33.75" customHeight="1">
      <c r="A18" s="38" t="s">
        <v>27</v>
      </c>
      <c r="B18" s="2"/>
      <c r="C18" s="2"/>
      <c r="D18" s="27" t="s">
        <v>682</v>
      </c>
      <c r="E18" s="2"/>
      <c r="F18" s="2"/>
      <c r="G18" s="15"/>
      <c r="H18" s="15"/>
    </row>
    <row r="19" spans="1:8">
      <c r="A19" s="52"/>
      <c r="B19" s="11"/>
      <c r="C19" s="11"/>
      <c r="D19" s="11"/>
      <c r="E19" s="11"/>
      <c r="F19" s="11"/>
      <c r="G19" s="11"/>
      <c r="H19" s="11"/>
    </row>
    <row r="20" spans="1:8">
      <c r="A20" s="38">
        <v>1</v>
      </c>
      <c r="B20" s="2"/>
      <c r="C20" s="2"/>
      <c r="D20" s="10" t="s">
        <v>73</v>
      </c>
      <c r="E20" s="2"/>
      <c r="F20" s="2"/>
      <c r="G20" s="15"/>
      <c r="H20" s="15"/>
    </row>
    <row r="21" spans="1:8">
      <c r="A21" s="53" t="s">
        <v>9</v>
      </c>
      <c r="B21" s="53" t="s">
        <v>785</v>
      </c>
      <c r="C21" s="53" t="s">
        <v>352</v>
      </c>
      <c r="D21" s="31" t="s">
        <v>353</v>
      </c>
      <c r="E21" s="53" t="s">
        <v>16</v>
      </c>
      <c r="F21" s="54">
        <v>6</v>
      </c>
      <c r="G21" s="68"/>
      <c r="H21" s="68"/>
    </row>
    <row r="22" spans="1:8">
      <c r="A22" s="53" t="s">
        <v>23</v>
      </c>
      <c r="B22" s="53" t="s">
        <v>785</v>
      </c>
      <c r="C22" s="53" t="s">
        <v>75</v>
      </c>
      <c r="D22" s="69" t="s">
        <v>76</v>
      </c>
      <c r="E22" s="53" t="s">
        <v>16</v>
      </c>
      <c r="F22" s="53">
        <v>160.5</v>
      </c>
      <c r="G22" s="68"/>
      <c r="H22" s="68"/>
    </row>
    <row r="23" spans="1:8" ht="28.5">
      <c r="A23" s="53" t="s">
        <v>51</v>
      </c>
      <c r="B23" s="53" t="s">
        <v>785</v>
      </c>
      <c r="C23" s="53" t="s">
        <v>768</v>
      </c>
      <c r="D23" s="29" t="s">
        <v>769</v>
      </c>
      <c r="E23" s="32" t="s">
        <v>17</v>
      </c>
      <c r="F23" s="42">
        <f xml:space="preserve"> ((0.5*0.5*0.5*25)+(1.4*0.5*0.5*2))*(1.3)</f>
        <v>4.9725000000000001</v>
      </c>
      <c r="G23" s="165"/>
      <c r="H23" s="165"/>
    </row>
    <row r="24" spans="1:8">
      <c r="A24" s="52" t="s">
        <v>62</v>
      </c>
      <c r="B24" s="53" t="s">
        <v>785</v>
      </c>
      <c r="C24" s="6" t="s">
        <v>77</v>
      </c>
      <c r="D24" s="22" t="s">
        <v>78</v>
      </c>
      <c r="E24" s="6" t="s">
        <v>17</v>
      </c>
      <c r="F24" s="17">
        <f>(160.5*0.2)</f>
        <v>32.1</v>
      </c>
      <c r="G24" s="14"/>
      <c r="H24" s="68"/>
    </row>
    <row r="25" spans="1:8">
      <c r="A25" s="52" t="s">
        <v>354</v>
      </c>
      <c r="B25" s="53" t="s">
        <v>785</v>
      </c>
      <c r="C25" s="6" t="s">
        <v>79</v>
      </c>
      <c r="D25" s="11" t="s">
        <v>80</v>
      </c>
      <c r="E25" s="6" t="s">
        <v>16</v>
      </c>
      <c r="F25" s="17">
        <v>113.36</v>
      </c>
      <c r="G25" s="14"/>
      <c r="H25" s="68"/>
    </row>
    <row r="26" spans="1:8">
      <c r="A26" s="52" t="s">
        <v>767</v>
      </c>
      <c r="B26" s="53" t="s">
        <v>785</v>
      </c>
      <c r="C26" s="6" t="s">
        <v>81</v>
      </c>
      <c r="D26" s="11" t="s">
        <v>82</v>
      </c>
      <c r="E26" s="6" t="s">
        <v>83</v>
      </c>
      <c r="F26" s="17">
        <v>3</v>
      </c>
      <c r="G26" s="14"/>
      <c r="H26" s="68"/>
    </row>
    <row r="27" spans="1:8">
      <c r="A27" s="52"/>
      <c r="B27" s="6"/>
      <c r="C27" s="6"/>
      <c r="D27" s="71" t="s">
        <v>21</v>
      </c>
      <c r="E27" s="6"/>
      <c r="F27" s="17"/>
      <c r="G27" s="14"/>
      <c r="H27" s="19"/>
    </row>
    <row r="28" spans="1:8">
      <c r="A28" s="38">
        <v>2</v>
      </c>
      <c r="B28" s="7"/>
      <c r="C28" s="7"/>
      <c r="D28" s="10" t="s">
        <v>84</v>
      </c>
      <c r="E28" s="12"/>
      <c r="F28" s="12"/>
      <c r="G28" s="16"/>
      <c r="H28" s="16"/>
    </row>
    <row r="29" spans="1:8" ht="29.25">
      <c r="A29" s="52" t="s">
        <v>59</v>
      </c>
      <c r="B29" s="53" t="s">
        <v>785</v>
      </c>
      <c r="C29" s="6" t="s">
        <v>355</v>
      </c>
      <c r="D29" s="22" t="s">
        <v>356</v>
      </c>
      <c r="E29" s="6" t="s">
        <v>357</v>
      </c>
      <c r="F29" s="17">
        <v>1</v>
      </c>
      <c r="G29" s="14"/>
      <c r="H29" s="14"/>
    </row>
    <row r="30" spans="1:8">
      <c r="A30" s="52" t="s">
        <v>72</v>
      </c>
      <c r="B30" s="53" t="s">
        <v>785</v>
      </c>
      <c r="C30" s="6" t="s">
        <v>85</v>
      </c>
      <c r="D30" s="11" t="s">
        <v>86</v>
      </c>
      <c r="E30" s="6" t="s">
        <v>18</v>
      </c>
      <c r="F30" s="17">
        <f>(28*9)</f>
        <v>252</v>
      </c>
      <c r="G30" s="14"/>
      <c r="H30" s="14"/>
    </row>
    <row r="31" spans="1:8">
      <c r="A31" s="52" t="s">
        <v>89</v>
      </c>
      <c r="B31" s="53" t="s">
        <v>785</v>
      </c>
      <c r="C31" s="6" t="s">
        <v>87</v>
      </c>
      <c r="D31" s="11" t="s">
        <v>88</v>
      </c>
      <c r="E31" s="6" t="s">
        <v>17</v>
      </c>
      <c r="F31" s="17">
        <f>0.049*9*28</f>
        <v>12.348000000000001</v>
      </c>
      <c r="G31" s="14"/>
      <c r="H31" s="14"/>
    </row>
    <row r="32" spans="1:8">
      <c r="A32" s="52" t="s">
        <v>92</v>
      </c>
      <c r="B32" s="53" t="s">
        <v>785</v>
      </c>
      <c r="C32" s="6" t="s">
        <v>90</v>
      </c>
      <c r="D32" s="11" t="s">
        <v>358</v>
      </c>
      <c r="E32" s="6" t="s">
        <v>17</v>
      </c>
      <c r="F32" s="17">
        <f>(0.2*0.3*78.32)</f>
        <v>4.6991999999999994</v>
      </c>
      <c r="G32" s="14"/>
      <c r="H32" s="14"/>
    </row>
    <row r="33" spans="1:8">
      <c r="A33" s="52" t="s">
        <v>95</v>
      </c>
      <c r="B33" s="53" t="s">
        <v>785</v>
      </c>
      <c r="C33" s="6" t="s">
        <v>140</v>
      </c>
      <c r="D33" s="22" t="s">
        <v>490</v>
      </c>
      <c r="E33" s="6" t="s">
        <v>17</v>
      </c>
      <c r="F33" s="17">
        <f>F32</f>
        <v>4.6991999999999994</v>
      </c>
      <c r="G33" s="14"/>
      <c r="H33" s="14"/>
    </row>
    <row r="34" spans="1:8">
      <c r="A34" s="52" t="s">
        <v>99</v>
      </c>
      <c r="B34" s="53" t="s">
        <v>785</v>
      </c>
      <c r="C34" s="6" t="s">
        <v>96</v>
      </c>
      <c r="D34" s="11" t="s">
        <v>97</v>
      </c>
      <c r="E34" s="6" t="s">
        <v>98</v>
      </c>
      <c r="F34" s="17">
        <f>F32*80*0.8</f>
        <v>300.74879999999996</v>
      </c>
      <c r="G34" s="14"/>
      <c r="H34" s="14"/>
    </row>
    <row r="35" spans="1:8">
      <c r="A35" s="52" t="s">
        <v>359</v>
      </c>
      <c r="B35" s="53" t="s">
        <v>785</v>
      </c>
      <c r="C35" s="6" t="s">
        <v>100</v>
      </c>
      <c r="D35" s="11" t="s">
        <v>101</v>
      </c>
      <c r="E35" s="6" t="s">
        <v>98</v>
      </c>
      <c r="F35" s="17">
        <f>F32*80*0.2</f>
        <v>75.18719999999999</v>
      </c>
      <c r="G35" s="14"/>
      <c r="H35" s="14"/>
    </row>
    <row r="36" spans="1:8">
      <c r="A36" s="52" t="s">
        <v>104</v>
      </c>
      <c r="B36" s="53" t="s">
        <v>785</v>
      </c>
      <c r="C36" s="6" t="s">
        <v>102</v>
      </c>
      <c r="D36" s="11" t="s">
        <v>151</v>
      </c>
      <c r="E36" s="6" t="s">
        <v>16</v>
      </c>
      <c r="F36" s="17">
        <f>78.32*0.5</f>
        <v>39.159999999999997</v>
      </c>
      <c r="G36" s="14"/>
      <c r="H36" s="14"/>
    </row>
    <row r="37" spans="1:8">
      <c r="A37" s="52" t="s">
        <v>106</v>
      </c>
      <c r="B37" s="53" t="s">
        <v>785</v>
      </c>
      <c r="C37" s="6" t="s">
        <v>90</v>
      </c>
      <c r="D37" s="11" t="s">
        <v>105</v>
      </c>
      <c r="E37" s="6" t="s">
        <v>17</v>
      </c>
      <c r="F37" s="17">
        <f>(0.5*0.5*0.5*25)+(1.4*0.5*0.5*2)</f>
        <v>3.8250000000000002</v>
      </c>
      <c r="G37" s="14"/>
      <c r="H37" s="14"/>
    </row>
    <row r="38" spans="1:8" ht="29.25">
      <c r="A38" s="52" t="s">
        <v>108</v>
      </c>
      <c r="B38" s="53" t="s">
        <v>785</v>
      </c>
      <c r="C38" s="6" t="s">
        <v>93</v>
      </c>
      <c r="D38" s="22" t="s">
        <v>107</v>
      </c>
      <c r="E38" s="6" t="s">
        <v>17</v>
      </c>
      <c r="F38" s="17">
        <f>F37</f>
        <v>3.8250000000000002</v>
      </c>
      <c r="G38" s="14"/>
      <c r="H38" s="14"/>
    </row>
    <row r="39" spans="1:8">
      <c r="A39" s="52" t="s">
        <v>110</v>
      </c>
      <c r="B39" s="53" t="s">
        <v>785</v>
      </c>
      <c r="C39" s="6" t="s">
        <v>96</v>
      </c>
      <c r="D39" s="11" t="s">
        <v>109</v>
      </c>
      <c r="E39" s="6" t="s">
        <v>98</v>
      </c>
      <c r="F39" s="17">
        <f>3.83*80*0.8</f>
        <v>245.12</v>
      </c>
      <c r="G39" s="14"/>
      <c r="H39" s="14"/>
    </row>
    <row r="40" spans="1:8">
      <c r="A40" s="52" t="s">
        <v>112</v>
      </c>
      <c r="B40" s="53" t="s">
        <v>785</v>
      </c>
      <c r="C40" s="6" t="s">
        <v>100</v>
      </c>
      <c r="D40" s="11" t="s">
        <v>111</v>
      </c>
      <c r="E40" s="6" t="s">
        <v>98</v>
      </c>
      <c r="F40" s="17">
        <f>3.83*80*0.2</f>
        <v>61.28</v>
      </c>
      <c r="G40" s="14"/>
      <c r="H40" s="14"/>
    </row>
    <row r="41" spans="1:8">
      <c r="A41" s="52" t="s">
        <v>115</v>
      </c>
      <c r="B41" s="53" t="s">
        <v>785</v>
      </c>
      <c r="C41" s="6" t="s">
        <v>113</v>
      </c>
      <c r="D41" s="11" t="s">
        <v>114</v>
      </c>
      <c r="E41" s="6" t="s">
        <v>17</v>
      </c>
      <c r="F41" s="17">
        <f>(0.2*78.32*0.03)+(0.5*0.5*25*0.03)+(1.4*0.5*2*0.03)</f>
        <v>0.69941999999999993</v>
      </c>
      <c r="G41" s="14"/>
      <c r="H41" s="14"/>
    </row>
    <row r="42" spans="1:8">
      <c r="A42" s="52" t="s">
        <v>118</v>
      </c>
      <c r="B42" s="53" t="s">
        <v>785</v>
      </c>
      <c r="C42" s="6" t="s">
        <v>122</v>
      </c>
      <c r="D42" s="11" t="s">
        <v>123</v>
      </c>
      <c r="E42" s="6" t="s">
        <v>16</v>
      </c>
      <c r="F42" s="17">
        <f>(0.5*0.5*4)*14</f>
        <v>14</v>
      </c>
      <c r="G42" s="14"/>
      <c r="H42" s="14"/>
    </row>
    <row r="43" spans="1:8">
      <c r="A43" s="52" t="s">
        <v>121</v>
      </c>
      <c r="B43" s="53" t="s">
        <v>785</v>
      </c>
      <c r="C43" s="6" t="s">
        <v>116</v>
      </c>
      <c r="D43" s="11" t="s">
        <v>117</v>
      </c>
      <c r="E43" s="6" t="s">
        <v>16</v>
      </c>
      <c r="F43" s="17">
        <f>78.32*0.8</f>
        <v>62.655999999999999</v>
      </c>
      <c r="G43" s="14"/>
      <c r="H43" s="14"/>
    </row>
    <row r="44" spans="1:8">
      <c r="A44" s="52" t="s">
        <v>360</v>
      </c>
      <c r="B44" s="53" t="s">
        <v>785</v>
      </c>
      <c r="C44" s="6" t="s">
        <v>119</v>
      </c>
      <c r="D44" s="11" t="s">
        <v>120</v>
      </c>
      <c r="E44" s="6" t="s">
        <v>17</v>
      </c>
      <c r="F44" s="17">
        <f>F43*0.015</f>
        <v>0.9398399999999999</v>
      </c>
      <c r="G44" s="14"/>
      <c r="H44" s="14"/>
    </row>
    <row r="45" spans="1:8">
      <c r="A45" s="52"/>
      <c r="B45" s="6"/>
      <c r="C45" s="89"/>
      <c r="D45" s="71" t="s">
        <v>124</v>
      </c>
      <c r="E45" s="6"/>
      <c r="F45" s="17"/>
      <c r="G45" s="14"/>
      <c r="H45" s="19"/>
    </row>
    <row r="46" spans="1:8">
      <c r="A46" s="38">
        <v>3</v>
      </c>
      <c r="B46" s="7"/>
      <c r="C46" s="7"/>
      <c r="D46" s="10" t="s">
        <v>125</v>
      </c>
      <c r="E46" s="12"/>
      <c r="F46" s="12"/>
      <c r="G46" s="16"/>
      <c r="H46" s="15"/>
    </row>
    <row r="47" spans="1:8" ht="29.25">
      <c r="A47" s="52" t="s">
        <v>10</v>
      </c>
      <c r="B47" s="53" t="s">
        <v>785</v>
      </c>
      <c r="C47" s="6" t="s">
        <v>90</v>
      </c>
      <c r="D47" s="22" t="s">
        <v>126</v>
      </c>
      <c r="E47" s="6" t="s">
        <v>17</v>
      </c>
      <c r="F47" s="17">
        <f>(0.15*0.25*3*22)+(0.15*0.25*3*4)</f>
        <v>2.9249999999999998</v>
      </c>
      <c r="G47" s="14"/>
      <c r="H47" s="14"/>
    </row>
    <row r="48" spans="1:8">
      <c r="A48" s="52" t="s">
        <v>127</v>
      </c>
      <c r="B48" s="53" t="s">
        <v>785</v>
      </c>
      <c r="C48" s="6" t="s">
        <v>96</v>
      </c>
      <c r="D48" s="21" t="s">
        <v>128</v>
      </c>
      <c r="E48" s="6" t="s">
        <v>98</v>
      </c>
      <c r="F48" s="17">
        <f>F47*80*0.8</f>
        <v>187.20000000000002</v>
      </c>
      <c r="G48" s="14"/>
      <c r="H48" s="14"/>
    </row>
    <row r="49" spans="1:8">
      <c r="A49" s="52" t="s">
        <v>129</v>
      </c>
      <c r="B49" s="53" t="s">
        <v>785</v>
      </c>
      <c r="C49" s="6" t="s">
        <v>100</v>
      </c>
      <c r="D49" s="21" t="s">
        <v>130</v>
      </c>
      <c r="E49" s="6" t="s">
        <v>98</v>
      </c>
      <c r="F49" s="17">
        <f>F47*80*0.2</f>
        <v>46.800000000000004</v>
      </c>
      <c r="G49" s="14"/>
      <c r="H49" s="14"/>
    </row>
    <row r="50" spans="1:8" ht="29.25">
      <c r="A50" s="52" t="s">
        <v>131</v>
      </c>
      <c r="B50" s="53" t="s">
        <v>785</v>
      </c>
      <c r="C50" s="6" t="s">
        <v>90</v>
      </c>
      <c r="D50" s="22" t="s">
        <v>361</v>
      </c>
      <c r="E50" s="6" t="s">
        <v>17</v>
      </c>
      <c r="F50" s="17">
        <f>(0.15*0.3*65.32)</f>
        <v>2.9393999999999996</v>
      </c>
      <c r="G50" s="14"/>
      <c r="H50" s="14"/>
    </row>
    <row r="51" spans="1:8">
      <c r="A51" s="52" t="s">
        <v>133</v>
      </c>
      <c r="B51" s="53" t="s">
        <v>785</v>
      </c>
      <c r="C51" s="6" t="s">
        <v>96</v>
      </c>
      <c r="D51" s="21" t="s">
        <v>136</v>
      </c>
      <c r="E51" s="6" t="s">
        <v>98</v>
      </c>
      <c r="F51" s="17">
        <f>F50*80*0.8</f>
        <v>188.12159999999997</v>
      </c>
      <c r="G51" s="14"/>
      <c r="H51" s="14"/>
    </row>
    <row r="52" spans="1:8">
      <c r="A52" s="52" t="s">
        <v>135</v>
      </c>
      <c r="B52" s="53" t="s">
        <v>785</v>
      </c>
      <c r="C52" s="6" t="s">
        <v>100</v>
      </c>
      <c r="D52" s="21" t="s">
        <v>138</v>
      </c>
      <c r="E52" s="6" t="s">
        <v>98</v>
      </c>
      <c r="F52" s="17">
        <f>F50*80*0.2</f>
        <v>47.030399999999993</v>
      </c>
      <c r="G52" s="14"/>
      <c r="H52" s="14"/>
    </row>
    <row r="53" spans="1:8">
      <c r="A53" s="52" t="s">
        <v>137</v>
      </c>
      <c r="B53" s="53" t="s">
        <v>785</v>
      </c>
      <c r="C53" s="6" t="s">
        <v>143</v>
      </c>
      <c r="D53" s="11" t="s">
        <v>144</v>
      </c>
      <c r="E53" s="6" t="s">
        <v>17</v>
      </c>
      <c r="F53" s="17">
        <f>(43.42*0.2*0.15)</f>
        <v>1.3026000000000002</v>
      </c>
      <c r="G53" s="14"/>
      <c r="H53" s="14"/>
    </row>
    <row r="54" spans="1:8" ht="29.25">
      <c r="A54" s="52" t="s">
        <v>139</v>
      </c>
      <c r="B54" s="53" t="s">
        <v>785</v>
      </c>
      <c r="C54" s="6" t="s">
        <v>774</v>
      </c>
      <c r="D54" s="73" t="s">
        <v>773</v>
      </c>
      <c r="E54" s="6" t="s">
        <v>16</v>
      </c>
      <c r="F54" s="17">
        <f>134.02</f>
        <v>134.02000000000001</v>
      </c>
      <c r="G54" s="14"/>
      <c r="H54" s="14"/>
    </row>
    <row r="55" spans="1:8">
      <c r="A55" s="52" t="s">
        <v>142</v>
      </c>
      <c r="B55" s="53" t="s">
        <v>785</v>
      </c>
      <c r="C55" s="6" t="s">
        <v>148</v>
      </c>
      <c r="D55" s="11" t="s">
        <v>149</v>
      </c>
      <c r="E55" s="6" t="s">
        <v>17</v>
      </c>
      <c r="F55" s="17">
        <f>98.61*0.05</f>
        <v>4.9305000000000003</v>
      </c>
      <c r="G55" s="14"/>
      <c r="H55" s="14"/>
    </row>
    <row r="56" spans="1:8">
      <c r="A56" s="52" t="s">
        <v>145</v>
      </c>
      <c r="B56" s="53" t="s">
        <v>785</v>
      </c>
      <c r="C56" s="6" t="s">
        <v>102</v>
      </c>
      <c r="D56" s="11" t="s">
        <v>151</v>
      </c>
      <c r="E56" s="6" t="s">
        <v>16</v>
      </c>
      <c r="F56" s="17">
        <f>(0.25*2*65.32)+(0.25*2*3*28)</f>
        <v>74.66</v>
      </c>
      <c r="G56" s="14"/>
      <c r="H56" s="14"/>
    </row>
    <row r="57" spans="1:8">
      <c r="A57" s="52" t="s">
        <v>146</v>
      </c>
      <c r="B57" s="53" t="s">
        <v>785</v>
      </c>
      <c r="C57" s="6" t="s">
        <v>140</v>
      </c>
      <c r="D57" s="11" t="s">
        <v>362</v>
      </c>
      <c r="E57" s="6" t="s">
        <v>17</v>
      </c>
      <c r="F57" s="17">
        <f>F47+F50+F55</f>
        <v>10.7949</v>
      </c>
      <c r="G57" s="14"/>
      <c r="H57" s="14"/>
    </row>
    <row r="58" spans="1:8">
      <c r="A58" s="52"/>
      <c r="B58" s="6"/>
      <c r="C58" s="6"/>
      <c r="D58" s="23" t="s">
        <v>22</v>
      </c>
      <c r="E58" s="6"/>
      <c r="F58" s="17"/>
      <c r="G58" s="14"/>
      <c r="H58" s="19"/>
    </row>
    <row r="59" spans="1:8">
      <c r="A59" s="38">
        <v>4</v>
      </c>
      <c r="B59" s="7"/>
      <c r="C59" s="7"/>
      <c r="D59" s="10" t="s">
        <v>155</v>
      </c>
      <c r="E59" s="12"/>
      <c r="F59" s="12"/>
      <c r="G59" s="16"/>
      <c r="H59" s="15"/>
    </row>
    <row r="60" spans="1:8">
      <c r="A60" s="52" t="s">
        <v>11</v>
      </c>
      <c r="B60" s="53" t="s">
        <v>785</v>
      </c>
      <c r="C60" s="6" t="s">
        <v>156</v>
      </c>
      <c r="D60" s="21" t="s">
        <v>157</v>
      </c>
      <c r="E60" s="6" t="s">
        <v>17</v>
      </c>
      <c r="F60" s="17">
        <f>(78.32*0.15*0.2)*1.3</f>
        <v>3.0544800000000003</v>
      </c>
      <c r="G60" s="14"/>
      <c r="H60" s="14"/>
    </row>
    <row r="61" spans="1:8">
      <c r="A61" s="52" t="s">
        <v>12</v>
      </c>
      <c r="B61" s="53" t="s">
        <v>785</v>
      </c>
      <c r="C61" s="6" t="s">
        <v>158</v>
      </c>
      <c r="D61" s="21" t="s">
        <v>159</v>
      </c>
      <c r="E61" s="6" t="s">
        <v>16</v>
      </c>
      <c r="F61" s="17">
        <f>(75.21*2.6)</f>
        <v>195.54599999999999</v>
      </c>
      <c r="G61" s="14"/>
      <c r="H61" s="14"/>
    </row>
    <row r="62" spans="1:8">
      <c r="A62" s="52" t="s">
        <v>160</v>
      </c>
      <c r="B62" s="53" t="s">
        <v>785</v>
      </c>
      <c r="C62" s="6" t="s">
        <v>492</v>
      </c>
      <c r="D62" s="21" t="s">
        <v>491</v>
      </c>
      <c r="E62" s="6" t="s">
        <v>16</v>
      </c>
      <c r="F62" s="17">
        <f>18.88*2.5</f>
        <v>47.199999999999996</v>
      </c>
      <c r="G62" s="14"/>
      <c r="H62" s="14"/>
    </row>
    <row r="63" spans="1:8">
      <c r="A63" s="52"/>
      <c r="B63" s="6"/>
      <c r="C63" s="6"/>
      <c r="D63" s="74" t="s">
        <v>163</v>
      </c>
      <c r="E63" s="6"/>
      <c r="F63" s="17"/>
      <c r="G63" s="14"/>
      <c r="H63" s="19"/>
    </row>
    <row r="64" spans="1:8">
      <c r="A64" s="38">
        <v>5</v>
      </c>
      <c r="B64" s="7"/>
      <c r="C64" s="12"/>
      <c r="D64" s="10" t="s">
        <v>164</v>
      </c>
      <c r="E64" s="12"/>
      <c r="F64" s="12"/>
      <c r="G64" s="16"/>
      <c r="H64" s="15"/>
    </row>
    <row r="65" spans="1:8">
      <c r="A65" s="52" t="s">
        <v>13</v>
      </c>
      <c r="B65" s="53" t="s">
        <v>785</v>
      </c>
      <c r="C65" s="6" t="s">
        <v>66</v>
      </c>
      <c r="D65" s="21" t="s">
        <v>65</v>
      </c>
      <c r="E65" s="6" t="s">
        <v>16</v>
      </c>
      <c r="F65" s="17">
        <f>122.94*1.077</f>
        <v>132.40637999999998</v>
      </c>
      <c r="G65" s="14"/>
      <c r="H65" s="14"/>
    </row>
    <row r="66" spans="1:8">
      <c r="A66" s="52" t="s">
        <v>14</v>
      </c>
      <c r="B66" s="53" t="s">
        <v>785</v>
      </c>
      <c r="C66" s="6" t="s">
        <v>165</v>
      </c>
      <c r="D66" s="21" t="s">
        <v>166</v>
      </c>
      <c r="E66" s="6" t="s">
        <v>16</v>
      </c>
      <c r="F66" s="17">
        <f>122.94*1.077</f>
        <v>132.40637999999998</v>
      </c>
      <c r="G66" s="14"/>
      <c r="H66" s="14"/>
    </row>
    <row r="67" spans="1:8">
      <c r="A67" s="52" t="s">
        <v>15</v>
      </c>
      <c r="B67" s="53" t="s">
        <v>785</v>
      </c>
      <c r="C67" s="6" t="s">
        <v>167</v>
      </c>
      <c r="D67" s="21" t="s">
        <v>168</v>
      </c>
      <c r="E67" s="6" t="s">
        <v>18</v>
      </c>
      <c r="F67" s="17">
        <f>(6.82*2)+3.13</f>
        <v>16.77</v>
      </c>
      <c r="G67" s="14"/>
      <c r="H67" s="14"/>
    </row>
    <row r="68" spans="1:8">
      <c r="A68" s="52" t="s">
        <v>24</v>
      </c>
      <c r="B68" s="53" t="s">
        <v>785</v>
      </c>
      <c r="C68" s="6" t="s">
        <v>776</v>
      </c>
      <c r="D68" s="21" t="s">
        <v>775</v>
      </c>
      <c r="E68" s="6" t="s">
        <v>16</v>
      </c>
      <c r="F68" s="17">
        <v>14.73</v>
      </c>
      <c r="G68" s="14"/>
      <c r="H68" s="14"/>
    </row>
    <row r="69" spans="1:8">
      <c r="A69" s="52" t="s">
        <v>25</v>
      </c>
      <c r="B69" s="53" t="s">
        <v>785</v>
      </c>
      <c r="C69" s="6" t="s">
        <v>363</v>
      </c>
      <c r="D69" s="80" t="s">
        <v>364</v>
      </c>
      <c r="E69" s="6" t="s">
        <v>16</v>
      </c>
      <c r="F69" s="17">
        <v>14.73</v>
      </c>
      <c r="G69" s="14"/>
      <c r="H69" s="14"/>
    </row>
    <row r="70" spans="1:8">
      <c r="A70" s="52" t="s">
        <v>26</v>
      </c>
      <c r="B70" s="53" t="s">
        <v>785</v>
      </c>
      <c r="C70" s="6" t="s">
        <v>365</v>
      </c>
      <c r="D70" s="11" t="s">
        <v>366</v>
      </c>
      <c r="E70" s="6" t="s">
        <v>18</v>
      </c>
      <c r="F70" s="17">
        <f>4.38*2</f>
        <v>8.76</v>
      </c>
      <c r="G70" s="14"/>
      <c r="H70" s="14"/>
    </row>
    <row r="71" spans="1:8">
      <c r="A71" s="52" t="s">
        <v>367</v>
      </c>
      <c r="B71" s="53" t="s">
        <v>785</v>
      </c>
      <c r="C71" s="6" t="s">
        <v>368</v>
      </c>
      <c r="D71" s="11" t="s">
        <v>369</v>
      </c>
      <c r="E71" s="6" t="s">
        <v>18</v>
      </c>
      <c r="F71" s="17">
        <f>4.64+4.4+4.6+4.62+14.2+9.28+5.1</f>
        <v>46.839999999999996</v>
      </c>
      <c r="G71" s="14"/>
      <c r="H71" s="14"/>
    </row>
    <row r="72" spans="1:8">
      <c r="A72" s="52"/>
      <c r="B72" s="6"/>
      <c r="C72" s="6"/>
      <c r="D72" s="23" t="s">
        <v>169</v>
      </c>
      <c r="E72" s="6"/>
      <c r="F72" s="17"/>
      <c r="G72" s="14"/>
      <c r="H72" s="19"/>
    </row>
    <row r="73" spans="1:8">
      <c r="A73" s="38">
        <v>6</v>
      </c>
      <c r="B73" s="7"/>
      <c r="C73" s="12"/>
      <c r="D73" s="10" t="s">
        <v>170</v>
      </c>
      <c r="E73" s="12"/>
      <c r="F73" s="12"/>
      <c r="G73" s="16"/>
      <c r="H73" s="15"/>
    </row>
    <row r="74" spans="1:8">
      <c r="A74" s="52" t="s">
        <v>33</v>
      </c>
      <c r="B74" s="53" t="s">
        <v>785</v>
      </c>
      <c r="C74" s="6" t="s">
        <v>370</v>
      </c>
      <c r="D74" s="73" t="s">
        <v>371</v>
      </c>
      <c r="E74" s="6" t="s">
        <v>18</v>
      </c>
      <c r="F74" s="17">
        <f>(30.65*2)+12.86</f>
        <v>74.16</v>
      </c>
      <c r="G74" s="14"/>
      <c r="H74" s="14"/>
    </row>
    <row r="75" spans="1:8" ht="29.25">
      <c r="A75" s="52" t="s">
        <v>34</v>
      </c>
      <c r="B75" s="53" t="s">
        <v>785</v>
      </c>
      <c r="C75" s="6" t="s">
        <v>372</v>
      </c>
      <c r="D75" s="73" t="s">
        <v>373</v>
      </c>
      <c r="E75" s="6" t="s">
        <v>16</v>
      </c>
      <c r="F75" s="17">
        <v>11.25</v>
      </c>
      <c r="G75" s="14"/>
      <c r="H75" s="14"/>
    </row>
    <row r="76" spans="1:8">
      <c r="A76" s="52"/>
      <c r="B76" s="6"/>
      <c r="C76" s="6"/>
      <c r="D76" s="71" t="s">
        <v>175</v>
      </c>
      <c r="E76" s="6"/>
      <c r="F76" s="17"/>
      <c r="G76" s="14"/>
      <c r="H76" s="19"/>
    </row>
    <row r="77" spans="1:8">
      <c r="A77" s="38">
        <v>7</v>
      </c>
      <c r="B77" s="12"/>
      <c r="C77" s="12"/>
      <c r="D77" s="10" t="s">
        <v>176</v>
      </c>
      <c r="E77" s="12"/>
      <c r="F77" s="12"/>
      <c r="G77" s="16"/>
      <c r="H77" s="15"/>
    </row>
    <row r="78" spans="1:8">
      <c r="A78" s="52" t="s">
        <v>177</v>
      </c>
      <c r="B78" s="53" t="s">
        <v>785</v>
      </c>
      <c r="C78" s="6" t="s">
        <v>178</v>
      </c>
      <c r="D78" s="11" t="s">
        <v>179</v>
      </c>
      <c r="E78" s="6" t="s">
        <v>16</v>
      </c>
      <c r="F78" s="17">
        <f>(75.21*2*3)+(18.9*2.8)+(140.61)</f>
        <v>644.79</v>
      </c>
      <c r="G78" s="14"/>
      <c r="H78" s="14"/>
    </row>
    <row r="79" spans="1:8">
      <c r="A79" s="52" t="s">
        <v>180</v>
      </c>
      <c r="B79" s="53" t="s">
        <v>785</v>
      </c>
      <c r="C79" s="6" t="s">
        <v>181</v>
      </c>
      <c r="D79" s="21" t="s">
        <v>182</v>
      </c>
      <c r="E79" s="6" t="s">
        <v>16</v>
      </c>
      <c r="F79" s="17">
        <f>F78</f>
        <v>644.79</v>
      </c>
      <c r="G79" s="14"/>
      <c r="H79" s="14"/>
    </row>
    <row r="80" spans="1:8" ht="29.25">
      <c r="A80" s="52" t="s">
        <v>183</v>
      </c>
      <c r="B80" s="53" t="s">
        <v>785</v>
      </c>
      <c r="C80" s="6" t="s">
        <v>374</v>
      </c>
      <c r="D80" s="73" t="s">
        <v>375</v>
      </c>
      <c r="E80" s="6" t="s">
        <v>16</v>
      </c>
      <c r="F80" s="17">
        <f>(89.11*2)</f>
        <v>178.22</v>
      </c>
      <c r="G80" s="14"/>
      <c r="H80" s="14"/>
    </row>
    <row r="81" spans="1:8">
      <c r="A81" s="52" t="s">
        <v>186</v>
      </c>
      <c r="B81" s="53" t="s">
        <v>785</v>
      </c>
      <c r="C81" s="6" t="s">
        <v>187</v>
      </c>
      <c r="D81" s="75" t="s">
        <v>188</v>
      </c>
      <c r="E81" s="6" t="s">
        <v>16</v>
      </c>
      <c r="F81" s="17">
        <f>49.15*1</f>
        <v>49.15</v>
      </c>
      <c r="G81" s="14"/>
      <c r="H81" s="14"/>
    </row>
    <row r="82" spans="1:8" ht="29.25">
      <c r="A82" s="52" t="s">
        <v>189</v>
      </c>
      <c r="B82" s="53" t="s">
        <v>785</v>
      </c>
      <c r="C82" s="6" t="s">
        <v>190</v>
      </c>
      <c r="D82" s="75" t="s">
        <v>792</v>
      </c>
      <c r="E82" s="6" t="s">
        <v>16</v>
      </c>
      <c r="F82" s="17">
        <f>F81</f>
        <v>49.15</v>
      </c>
      <c r="G82" s="14"/>
      <c r="H82" s="14"/>
    </row>
    <row r="83" spans="1:8">
      <c r="A83" s="52"/>
      <c r="B83" s="6"/>
      <c r="C83" s="6"/>
      <c r="D83" s="90"/>
      <c r="E83" s="6"/>
      <c r="F83" s="17"/>
      <c r="G83" s="14"/>
      <c r="H83" s="19"/>
    </row>
    <row r="84" spans="1:8">
      <c r="A84" s="38">
        <v>8</v>
      </c>
      <c r="B84" s="94"/>
      <c r="C84" s="12"/>
      <c r="D84" s="10" t="s">
        <v>193</v>
      </c>
      <c r="E84" s="12"/>
      <c r="F84" s="18"/>
      <c r="G84" s="16"/>
      <c r="H84" s="15"/>
    </row>
    <row r="85" spans="1:8" ht="43.5">
      <c r="A85" s="52" t="s">
        <v>194</v>
      </c>
      <c r="B85" s="53" t="s">
        <v>785</v>
      </c>
      <c r="C85" s="6" t="s">
        <v>495</v>
      </c>
      <c r="D85" s="73" t="s">
        <v>494</v>
      </c>
      <c r="E85" s="6" t="s">
        <v>16</v>
      </c>
      <c r="F85" s="17">
        <f>102.14</f>
        <v>102.14</v>
      </c>
      <c r="G85" s="14"/>
      <c r="H85" s="14"/>
    </row>
    <row r="86" spans="1:8" ht="43.5">
      <c r="A86" s="52" t="s">
        <v>197</v>
      </c>
      <c r="B86" s="53" t="s">
        <v>785</v>
      </c>
      <c r="C86" s="6" t="s">
        <v>497</v>
      </c>
      <c r="D86" s="22" t="s">
        <v>496</v>
      </c>
      <c r="E86" s="6" t="s">
        <v>18</v>
      </c>
      <c r="F86" s="17">
        <v>15.5</v>
      </c>
      <c r="G86" s="14"/>
      <c r="H86" s="14"/>
    </row>
    <row r="87" spans="1:8">
      <c r="A87" s="52"/>
      <c r="B87" s="6"/>
      <c r="C87" s="6"/>
      <c r="D87" s="23" t="s">
        <v>30</v>
      </c>
      <c r="E87" s="6"/>
      <c r="F87" s="17"/>
      <c r="G87" s="14"/>
      <c r="H87" s="19"/>
    </row>
    <row r="88" spans="1:8">
      <c r="A88" s="38">
        <v>9</v>
      </c>
      <c r="B88" s="12"/>
      <c r="C88" s="12"/>
      <c r="D88" s="10" t="s">
        <v>199</v>
      </c>
      <c r="E88" s="12"/>
      <c r="F88" s="12"/>
      <c r="G88" s="16"/>
      <c r="H88" s="15"/>
    </row>
    <row r="89" spans="1:8" ht="29.25">
      <c r="A89" s="52" t="s">
        <v>378</v>
      </c>
      <c r="B89" s="53" t="s">
        <v>785</v>
      </c>
      <c r="C89" s="6" t="s">
        <v>201</v>
      </c>
      <c r="D89" s="73" t="s">
        <v>202</v>
      </c>
      <c r="E89" s="6" t="s">
        <v>16</v>
      </c>
      <c r="F89" s="17">
        <v>46.97</v>
      </c>
      <c r="G89" s="14"/>
      <c r="H89" s="14"/>
    </row>
    <row r="90" spans="1:8" ht="43.5">
      <c r="A90" s="52" t="s">
        <v>200</v>
      </c>
      <c r="B90" s="53" t="s">
        <v>785</v>
      </c>
      <c r="C90" s="6" t="s">
        <v>376</v>
      </c>
      <c r="D90" s="73" t="s">
        <v>493</v>
      </c>
      <c r="E90" s="6" t="s">
        <v>16</v>
      </c>
      <c r="F90" s="17">
        <v>8.24</v>
      </c>
      <c r="G90" s="14"/>
      <c r="H90" s="14"/>
    </row>
    <row r="91" spans="1:8">
      <c r="A91" s="52"/>
      <c r="B91" s="6"/>
      <c r="C91" s="6"/>
      <c r="D91" s="71" t="s">
        <v>31</v>
      </c>
      <c r="E91" s="6"/>
      <c r="F91" s="17"/>
      <c r="G91" s="14"/>
      <c r="H91" s="19"/>
    </row>
    <row r="92" spans="1:8">
      <c r="A92" s="38">
        <v>10</v>
      </c>
      <c r="B92" s="12"/>
      <c r="C92" s="12"/>
      <c r="D92" s="10" t="s">
        <v>203</v>
      </c>
      <c r="E92" s="12"/>
      <c r="F92" s="12"/>
      <c r="G92" s="16"/>
      <c r="H92" s="15"/>
    </row>
    <row r="93" spans="1:8" ht="43.5">
      <c r="A93" s="52" t="s">
        <v>204</v>
      </c>
      <c r="B93" s="53" t="s">
        <v>785</v>
      </c>
      <c r="C93" s="6" t="s">
        <v>379</v>
      </c>
      <c r="D93" s="73" t="s">
        <v>380</v>
      </c>
      <c r="E93" s="6" t="s">
        <v>37</v>
      </c>
      <c r="F93" s="17">
        <v>2</v>
      </c>
      <c r="G93" s="14"/>
      <c r="H93" s="14"/>
    </row>
    <row r="94" spans="1:8" ht="29.25">
      <c r="A94" s="52" t="s">
        <v>207</v>
      </c>
      <c r="B94" s="53" t="s">
        <v>785</v>
      </c>
      <c r="C94" s="6" t="s">
        <v>381</v>
      </c>
      <c r="D94" s="73" t="s">
        <v>382</v>
      </c>
      <c r="E94" s="6" t="s">
        <v>37</v>
      </c>
      <c r="F94" s="17">
        <v>3</v>
      </c>
      <c r="G94" s="14"/>
      <c r="H94" s="14"/>
    </row>
    <row r="95" spans="1:8">
      <c r="A95" s="52" t="s">
        <v>208</v>
      </c>
      <c r="B95" s="53" t="s">
        <v>785</v>
      </c>
      <c r="C95" s="6" t="s">
        <v>384</v>
      </c>
      <c r="D95" s="73" t="s">
        <v>385</v>
      </c>
      <c r="E95" s="6" t="s">
        <v>856</v>
      </c>
      <c r="F95" s="17">
        <v>3</v>
      </c>
      <c r="G95" s="14"/>
      <c r="H95" s="14"/>
    </row>
    <row r="96" spans="1:8">
      <c r="A96" s="52" t="s">
        <v>383</v>
      </c>
      <c r="B96" s="53" t="s">
        <v>785</v>
      </c>
      <c r="C96" s="6" t="s">
        <v>387</v>
      </c>
      <c r="D96" s="73" t="s">
        <v>388</v>
      </c>
      <c r="E96" s="6" t="s">
        <v>37</v>
      </c>
      <c r="F96" s="17">
        <v>15</v>
      </c>
      <c r="G96" s="14"/>
      <c r="H96" s="14"/>
    </row>
    <row r="97" spans="1:8">
      <c r="A97" s="52" t="s">
        <v>386</v>
      </c>
      <c r="B97" s="53" t="s">
        <v>785</v>
      </c>
      <c r="C97" s="6" t="s">
        <v>390</v>
      </c>
      <c r="D97" s="73" t="s">
        <v>391</v>
      </c>
      <c r="E97" s="6" t="s">
        <v>37</v>
      </c>
      <c r="F97" s="17">
        <v>15</v>
      </c>
      <c r="G97" s="14"/>
      <c r="H97" s="14"/>
    </row>
    <row r="98" spans="1:8">
      <c r="A98" s="52" t="s">
        <v>389</v>
      </c>
      <c r="B98" s="53" t="s">
        <v>785</v>
      </c>
      <c r="C98" s="6" t="s">
        <v>392</v>
      </c>
      <c r="D98" s="73" t="s">
        <v>393</v>
      </c>
      <c r="E98" s="6" t="s">
        <v>16</v>
      </c>
      <c r="F98" s="17">
        <f>(2*0.6*4)+(2.6*0.6*2)+ (1.2*0.6*2)</f>
        <v>9.36</v>
      </c>
      <c r="G98" s="14"/>
      <c r="H98" s="14"/>
    </row>
    <row r="99" spans="1:8">
      <c r="A99" s="52" t="s">
        <v>683</v>
      </c>
      <c r="B99" s="53" t="s">
        <v>785</v>
      </c>
      <c r="C99" s="6" t="s">
        <v>684</v>
      </c>
      <c r="D99" s="73" t="s">
        <v>685</v>
      </c>
      <c r="E99" s="6" t="s">
        <v>16</v>
      </c>
      <c r="F99" s="17">
        <v>9.36</v>
      </c>
      <c r="G99" s="14"/>
      <c r="H99" s="14"/>
    </row>
    <row r="100" spans="1:8">
      <c r="A100" s="52"/>
      <c r="B100" s="6"/>
      <c r="C100" s="77"/>
      <c r="D100" s="71" t="s">
        <v>211</v>
      </c>
      <c r="E100" s="6"/>
      <c r="F100" s="17"/>
      <c r="G100" s="14"/>
      <c r="H100" s="19"/>
    </row>
    <row r="101" spans="1:8">
      <c r="A101" s="38">
        <v>11</v>
      </c>
      <c r="B101" s="12"/>
      <c r="C101" s="12"/>
      <c r="D101" s="7" t="s">
        <v>43</v>
      </c>
      <c r="E101" s="12"/>
      <c r="F101" s="12"/>
      <c r="G101" s="16"/>
      <c r="H101" s="15"/>
    </row>
    <row r="102" spans="1:8">
      <c r="A102" s="52" t="s">
        <v>212</v>
      </c>
      <c r="B102" s="53" t="s">
        <v>785</v>
      </c>
      <c r="C102" s="77" t="s">
        <v>214</v>
      </c>
      <c r="D102" s="78" t="s">
        <v>215</v>
      </c>
      <c r="E102" s="6" t="s">
        <v>16</v>
      </c>
      <c r="F102" s="17">
        <f>F78-F80-F82</f>
        <v>417.41999999999996</v>
      </c>
      <c r="G102" s="14"/>
      <c r="H102" s="14"/>
    </row>
    <row r="103" spans="1:8">
      <c r="A103" s="52" t="s">
        <v>213</v>
      </c>
      <c r="B103" s="53" t="s">
        <v>785</v>
      </c>
      <c r="C103" s="6" t="s">
        <v>394</v>
      </c>
      <c r="D103" s="1" t="s">
        <v>395</v>
      </c>
      <c r="E103" s="6" t="s">
        <v>16</v>
      </c>
      <c r="F103" s="17">
        <f>(0.9*2.1*2)</f>
        <v>3.7800000000000002</v>
      </c>
      <c r="G103" s="14"/>
      <c r="H103" s="14"/>
    </row>
    <row r="104" spans="1:8">
      <c r="A104" s="52"/>
      <c r="B104" s="6"/>
      <c r="C104" s="6"/>
      <c r="D104" s="74" t="s">
        <v>218</v>
      </c>
      <c r="E104" s="6"/>
      <c r="F104" s="17"/>
      <c r="G104" s="14"/>
      <c r="H104" s="19"/>
    </row>
    <row r="105" spans="1:8">
      <c r="A105" s="38">
        <v>12</v>
      </c>
      <c r="B105" s="12"/>
      <c r="C105" s="12"/>
      <c r="D105" s="7" t="s">
        <v>396</v>
      </c>
      <c r="E105" s="12"/>
      <c r="F105" s="12"/>
      <c r="G105" s="16"/>
      <c r="H105" s="15"/>
    </row>
    <row r="106" spans="1:8">
      <c r="A106" s="52" t="s">
        <v>220</v>
      </c>
      <c r="B106" s="53" t="s">
        <v>785</v>
      </c>
      <c r="C106" s="6" t="s">
        <v>397</v>
      </c>
      <c r="D106" s="76" t="s">
        <v>398</v>
      </c>
      <c r="E106" s="6" t="s">
        <v>37</v>
      </c>
      <c r="F106" s="17">
        <v>2</v>
      </c>
      <c r="G106" s="14"/>
      <c r="H106" s="14"/>
    </row>
    <row r="107" spans="1:8">
      <c r="A107" s="52" t="s">
        <v>223</v>
      </c>
      <c r="B107" s="53" t="s">
        <v>785</v>
      </c>
      <c r="C107" s="6" t="s">
        <v>236</v>
      </c>
      <c r="D107" s="76" t="s">
        <v>237</v>
      </c>
      <c r="E107" s="6" t="s">
        <v>37</v>
      </c>
      <c r="F107" s="17">
        <v>2</v>
      </c>
      <c r="G107" s="14"/>
      <c r="H107" s="14"/>
    </row>
    <row r="108" spans="1:8">
      <c r="A108" s="52" t="s">
        <v>226</v>
      </c>
      <c r="B108" s="53" t="s">
        <v>785</v>
      </c>
      <c r="C108" s="6" t="s">
        <v>686</v>
      </c>
      <c r="D108" s="73" t="s">
        <v>399</v>
      </c>
      <c r="E108" s="6" t="s">
        <v>18</v>
      </c>
      <c r="F108" s="17">
        <v>1.8</v>
      </c>
      <c r="G108" s="14"/>
      <c r="H108" s="14"/>
    </row>
    <row r="109" spans="1:8" ht="29.25">
      <c r="A109" s="52" t="s">
        <v>229</v>
      </c>
      <c r="B109" s="53" t="s">
        <v>785</v>
      </c>
      <c r="C109" s="6" t="s">
        <v>400</v>
      </c>
      <c r="D109" s="73" t="s">
        <v>401</v>
      </c>
      <c r="E109" s="6" t="s">
        <v>37</v>
      </c>
      <c r="F109" s="17">
        <v>6</v>
      </c>
      <c r="G109" s="14"/>
      <c r="H109" s="14"/>
    </row>
    <row r="110" spans="1:8" ht="29.25">
      <c r="A110" s="52" t="s">
        <v>232</v>
      </c>
      <c r="B110" s="53" t="s">
        <v>785</v>
      </c>
      <c r="C110" s="6" t="s">
        <v>402</v>
      </c>
      <c r="D110" s="73" t="s">
        <v>403</v>
      </c>
      <c r="E110" s="6" t="s">
        <v>37</v>
      </c>
      <c r="F110" s="17">
        <v>6</v>
      </c>
      <c r="G110" s="14"/>
      <c r="H110" s="14"/>
    </row>
    <row r="111" spans="1:8">
      <c r="A111" s="52" t="s">
        <v>235</v>
      </c>
      <c r="B111" s="53" t="s">
        <v>785</v>
      </c>
      <c r="C111" s="6" t="s">
        <v>221</v>
      </c>
      <c r="D111" s="76" t="s">
        <v>222</v>
      </c>
      <c r="E111" s="6" t="s">
        <v>37</v>
      </c>
      <c r="F111" s="17">
        <v>17</v>
      </c>
      <c r="G111" s="14"/>
      <c r="H111" s="14"/>
    </row>
    <row r="112" spans="1:8">
      <c r="A112" s="52" t="s">
        <v>238</v>
      </c>
      <c r="B112" s="53" t="s">
        <v>785</v>
      </c>
      <c r="C112" s="6" t="s">
        <v>224</v>
      </c>
      <c r="D112" s="76" t="s">
        <v>225</v>
      </c>
      <c r="E112" s="6" t="s">
        <v>37</v>
      </c>
      <c r="F112" s="17">
        <v>10</v>
      </c>
      <c r="G112" s="14"/>
      <c r="H112" s="14"/>
    </row>
    <row r="113" spans="1:8">
      <c r="A113" s="52" t="s">
        <v>240</v>
      </c>
      <c r="B113" s="53" t="s">
        <v>785</v>
      </c>
      <c r="C113" s="6" t="s">
        <v>227</v>
      </c>
      <c r="D113" s="76" t="s">
        <v>228</v>
      </c>
      <c r="E113" s="6" t="s">
        <v>16</v>
      </c>
      <c r="F113" s="17">
        <f>(0.5*0.8*4)+(6*0.8*2)</f>
        <v>11.200000000000001</v>
      </c>
      <c r="G113" s="14"/>
      <c r="H113" s="14"/>
    </row>
    <row r="114" spans="1:8">
      <c r="A114" s="52" t="s">
        <v>243</v>
      </c>
      <c r="B114" s="53" t="s">
        <v>785</v>
      </c>
      <c r="C114" s="6" t="s">
        <v>230</v>
      </c>
      <c r="D114" s="76" t="s">
        <v>231</v>
      </c>
      <c r="E114" s="6" t="s">
        <v>37</v>
      </c>
      <c r="F114" s="17">
        <v>10</v>
      </c>
      <c r="G114" s="14"/>
      <c r="H114" s="14"/>
    </row>
    <row r="115" spans="1:8" ht="43.5">
      <c r="A115" s="52" t="s">
        <v>246</v>
      </c>
      <c r="B115" s="53" t="s">
        <v>785</v>
      </c>
      <c r="C115" s="6" t="s">
        <v>404</v>
      </c>
      <c r="D115" s="78" t="s">
        <v>405</v>
      </c>
      <c r="E115" s="6" t="s">
        <v>37</v>
      </c>
      <c r="F115" s="17">
        <v>2</v>
      </c>
      <c r="G115" s="14"/>
      <c r="H115" s="14"/>
    </row>
    <row r="116" spans="1:8" ht="17.25" customHeight="1">
      <c r="A116" s="52" t="s">
        <v>249</v>
      </c>
      <c r="B116" s="53" t="s">
        <v>785</v>
      </c>
      <c r="C116" s="100" t="s">
        <v>689</v>
      </c>
      <c r="D116" s="76" t="s">
        <v>406</v>
      </c>
      <c r="E116" s="6" t="s">
        <v>37</v>
      </c>
      <c r="F116" s="17">
        <v>15</v>
      </c>
      <c r="G116" s="14"/>
      <c r="H116" s="14"/>
    </row>
    <row r="117" spans="1:8">
      <c r="A117" s="52" t="s">
        <v>252</v>
      </c>
      <c r="B117" s="53" t="s">
        <v>785</v>
      </c>
      <c r="C117" s="6" t="s">
        <v>236</v>
      </c>
      <c r="D117" s="76" t="s">
        <v>237</v>
      </c>
      <c r="E117" s="6" t="s">
        <v>37</v>
      </c>
      <c r="F117" s="17">
        <v>15</v>
      </c>
      <c r="G117" s="14"/>
      <c r="H117" s="14"/>
    </row>
    <row r="118" spans="1:8">
      <c r="A118" s="52" t="s">
        <v>255</v>
      </c>
      <c r="B118" s="53" t="s">
        <v>785</v>
      </c>
      <c r="C118" s="6" t="s">
        <v>407</v>
      </c>
      <c r="D118" s="76" t="s">
        <v>408</v>
      </c>
      <c r="E118" s="6" t="s">
        <v>37</v>
      </c>
      <c r="F118" s="17">
        <v>4</v>
      </c>
      <c r="G118" s="14"/>
      <c r="H118" s="14"/>
    </row>
    <row r="119" spans="1:8" ht="29.25">
      <c r="A119" s="52" t="s">
        <v>258</v>
      </c>
      <c r="B119" s="53" t="s">
        <v>785</v>
      </c>
      <c r="C119" s="6" t="s">
        <v>507</v>
      </c>
      <c r="D119" s="78" t="s">
        <v>506</v>
      </c>
      <c r="E119" s="6" t="s">
        <v>18</v>
      </c>
      <c r="F119" s="17">
        <f>(0.9*5)+(1.67*2)+(2*6)+(1*2)</f>
        <v>21.84</v>
      </c>
      <c r="G119" s="14"/>
      <c r="H119" s="14"/>
    </row>
    <row r="120" spans="1:8" ht="29.25">
      <c r="A120" s="52" t="s">
        <v>261</v>
      </c>
      <c r="B120" s="53" t="s">
        <v>785</v>
      </c>
      <c r="C120" s="77" t="s">
        <v>409</v>
      </c>
      <c r="D120" s="78" t="s">
        <v>410</v>
      </c>
      <c r="E120" s="6" t="s">
        <v>37</v>
      </c>
      <c r="F120" s="17">
        <v>2</v>
      </c>
      <c r="G120" s="14"/>
      <c r="H120" s="14"/>
    </row>
    <row r="121" spans="1:8">
      <c r="A121" s="52" t="s">
        <v>263</v>
      </c>
      <c r="B121" s="53" t="s">
        <v>785</v>
      </c>
      <c r="C121" s="77" t="s">
        <v>241</v>
      </c>
      <c r="D121" s="76" t="s">
        <v>242</v>
      </c>
      <c r="E121" s="6" t="s">
        <v>37</v>
      </c>
      <c r="F121" s="17">
        <v>14</v>
      </c>
      <c r="G121" s="14"/>
      <c r="H121" s="14"/>
    </row>
    <row r="122" spans="1:8">
      <c r="A122" s="52" t="s">
        <v>411</v>
      </c>
      <c r="B122" s="53" t="s">
        <v>785</v>
      </c>
      <c r="C122" s="6" t="s">
        <v>244</v>
      </c>
      <c r="D122" s="1" t="s">
        <v>245</v>
      </c>
      <c r="E122" s="6" t="s">
        <v>16</v>
      </c>
      <c r="F122" s="17">
        <f>(3.68*2)+4.07</f>
        <v>11.43</v>
      </c>
      <c r="G122" s="14"/>
      <c r="H122" s="14"/>
    </row>
    <row r="123" spans="1:8" ht="29.25">
      <c r="A123" s="52" t="s">
        <v>412</v>
      </c>
      <c r="B123" s="53" t="s">
        <v>785</v>
      </c>
      <c r="C123" s="6" t="s">
        <v>247</v>
      </c>
      <c r="D123" s="78" t="s">
        <v>248</v>
      </c>
      <c r="E123" s="6" t="s">
        <v>37</v>
      </c>
      <c r="F123" s="17">
        <v>14</v>
      </c>
      <c r="G123" s="14"/>
      <c r="H123" s="14"/>
    </row>
    <row r="124" spans="1:8" ht="29.25">
      <c r="A124" s="52" t="s">
        <v>413</v>
      </c>
      <c r="B124" s="53" t="s">
        <v>785</v>
      </c>
      <c r="C124" s="6" t="s">
        <v>250</v>
      </c>
      <c r="D124" s="78" t="s">
        <v>251</v>
      </c>
      <c r="E124" s="6" t="s">
        <v>37</v>
      </c>
      <c r="F124" s="17">
        <v>2</v>
      </c>
      <c r="G124" s="14"/>
      <c r="H124" s="14"/>
    </row>
    <row r="125" spans="1:8">
      <c r="A125" s="52" t="s">
        <v>414</v>
      </c>
      <c r="B125" s="53" t="s">
        <v>785</v>
      </c>
      <c r="C125" s="6" t="s">
        <v>253</v>
      </c>
      <c r="D125" s="76" t="s">
        <v>415</v>
      </c>
      <c r="E125" s="6" t="s">
        <v>37</v>
      </c>
      <c r="F125" s="17">
        <v>2</v>
      </c>
      <c r="G125" s="14"/>
      <c r="H125" s="14"/>
    </row>
    <row r="126" spans="1:8">
      <c r="A126" s="52" t="s">
        <v>416</v>
      </c>
      <c r="B126" s="53" t="s">
        <v>785</v>
      </c>
      <c r="C126" s="6" t="s">
        <v>417</v>
      </c>
      <c r="D126" s="76" t="s">
        <v>418</v>
      </c>
      <c r="E126" s="6" t="s">
        <v>37</v>
      </c>
      <c r="F126" s="17">
        <v>2</v>
      </c>
      <c r="G126" s="14"/>
      <c r="H126" s="14"/>
    </row>
    <row r="127" spans="1:8">
      <c r="A127" s="52" t="s">
        <v>419</v>
      </c>
      <c r="B127" s="53" t="s">
        <v>785</v>
      </c>
      <c r="C127" s="6" t="s">
        <v>420</v>
      </c>
      <c r="D127" s="76" t="s">
        <v>421</v>
      </c>
      <c r="E127" s="6" t="s">
        <v>37</v>
      </c>
      <c r="F127" s="17">
        <v>1</v>
      </c>
      <c r="G127" s="14"/>
      <c r="H127" s="14"/>
    </row>
    <row r="128" spans="1:8">
      <c r="A128" s="52" t="s">
        <v>422</v>
      </c>
      <c r="B128" s="53" t="s">
        <v>785</v>
      </c>
      <c r="C128" s="6" t="s">
        <v>259</v>
      </c>
      <c r="D128" s="76" t="s">
        <v>423</v>
      </c>
      <c r="E128" s="6" t="s">
        <v>37</v>
      </c>
      <c r="F128" s="17">
        <v>2</v>
      </c>
      <c r="G128" s="14"/>
      <c r="H128" s="14"/>
    </row>
    <row r="129" spans="1:8">
      <c r="A129" s="52" t="s">
        <v>424</v>
      </c>
      <c r="B129" s="53" t="s">
        <v>785</v>
      </c>
      <c r="C129" s="6" t="s">
        <v>425</v>
      </c>
      <c r="D129" s="76" t="s">
        <v>426</v>
      </c>
      <c r="E129" s="6" t="s">
        <v>16</v>
      </c>
      <c r="F129" s="17">
        <f>(1.3*2*14)+(0.5*2*7)+(0.45*0.8*3)</f>
        <v>44.48</v>
      </c>
      <c r="G129" s="14"/>
      <c r="H129" s="14"/>
    </row>
    <row r="130" spans="1:8" ht="29.25">
      <c r="A130" s="52" t="s">
        <v>812</v>
      </c>
      <c r="B130" s="53" t="s">
        <v>785</v>
      </c>
      <c r="C130" s="6" t="s">
        <v>813</v>
      </c>
      <c r="D130" s="78" t="s">
        <v>814</v>
      </c>
      <c r="E130" s="6" t="s">
        <v>18</v>
      </c>
      <c r="F130" s="17">
        <v>2.4</v>
      </c>
      <c r="G130" s="14"/>
      <c r="H130" s="14"/>
    </row>
    <row r="131" spans="1:8">
      <c r="A131" s="52"/>
      <c r="B131" s="6"/>
      <c r="C131" s="6"/>
      <c r="D131" s="74" t="s">
        <v>264</v>
      </c>
      <c r="E131" s="6"/>
      <c r="F131" s="6"/>
      <c r="G131" s="14"/>
      <c r="H131" s="19"/>
    </row>
    <row r="132" spans="1:8">
      <c r="A132" s="38">
        <v>13</v>
      </c>
      <c r="B132" s="12"/>
      <c r="C132" s="12"/>
      <c r="D132" s="7" t="s">
        <v>265</v>
      </c>
      <c r="E132" s="12"/>
      <c r="F132" s="12"/>
      <c r="G132" s="16"/>
      <c r="H132" s="15"/>
    </row>
    <row r="133" spans="1:8" ht="29.25">
      <c r="A133" s="52" t="s">
        <v>266</v>
      </c>
      <c r="B133" s="53" t="s">
        <v>785</v>
      </c>
      <c r="C133" s="77" t="s">
        <v>304</v>
      </c>
      <c r="D133" s="78" t="s">
        <v>305</v>
      </c>
      <c r="E133" s="6" t="s">
        <v>37</v>
      </c>
      <c r="F133" s="17">
        <v>12</v>
      </c>
      <c r="G133" s="14"/>
      <c r="H133" s="14"/>
    </row>
    <row r="134" spans="1:8" ht="29.25">
      <c r="A134" s="52" t="s">
        <v>269</v>
      </c>
      <c r="B134" s="53" t="s">
        <v>785</v>
      </c>
      <c r="C134" s="77" t="s">
        <v>427</v>
      </c>
      <c r="D134" s="78" t="s">
        <v>428</v>
      </c>
      <c r="E134" s="6" t="s">
        <v>37</v>
      </c>
      <c r="F134" s="17">
        <v>16</v>
      </c>
      <c r="G134" s="14"/>
      <c r="H134" s="14"/>
    </row>
    <row r="135" spans="1:8" ht="29.25">
      <c r="A135" s="52" t="s">
        <v>272</v>
      </c>
      <c r="B135" s="53" t="s">
        <v>785</v>
      </c>
      <c r="C135" s="77" t="s">
        <v>429</v>
      </c>
      <c r="D135" s="78" t="s">
        <v>430</v>
      </c>
      <c r="E135" s="6" t="s">
        <v>37</v>
      </c>
      <c r="F135" s="17">
        <v>6</v>
      </c>
      <c r="G135" s="14"/>
      <c r="H135" s="14"/>
    </row>
    <row r="136" spans="1:8">
      <c r="A136" s="52" t="s">
        <v>275</v>
      </c>
      <c r="B136" s="53" t="s">
        <v>785</v>
      </c>
      <c r="C136" s="77" t="s">
        <v>431</v>
      </c>
      <c r="D136" s="78" t="s">
        <v>432</v>
      </c>
      <c r="E136" s="6" t="s">
        <v>37</v>
      </c>
      <c r="F136" s="17">
        <v>6</v>
      </c>
      <c r="G136" s="14"/>
      <c r="H136" s="14"/>
    </row>
    <row r="137" spans="1:8" ht="29.25">
      <c r="A137" s="52" t="s">
        <v>278</v>
      </c>
      <c r="B137" s="53" t="s">
        <v>785</v>
      </c>
      <c r="C137" s="77" t="s">
        <v>267</v>
      </c>
      <c r="D137" s="78" t="s">
        <v>268</v>
      </c>
      <c r="E137" s="6" t="s">
        <v>37</v>
      </c>
      <c r="F137" s="17">
        <v>1</v>
      </c>
      <c r="G137" s="14"/>
      <c r="H137" s="14"/>
    </row>
    <row r="138" spans="1:8">
      <c r="A138" s="52" t="s">
        <v>279</v>
      </c>
      <c r="B138" s="53" t="s">
        <v>785</v>
      </c>
      <c r="C138" s="77" t="s">
        <v>270</v>
      </c>
      <c r="D138" s="78" t="s">
        <v>271</v>
      </c>
      <c r="E138" s="6" t="s">
        <v>37</v>
      </c>
      <c r="F138" s="17">
        <v>1</v>
      </c>
      <c r="G138" s="14"/>
      <c r="H138" s="14"/>
    </row>
    <row r="139" spans="1:8">
      <c r="A139" s="52" t="s">
        <v>282</v>
      </c>
      <c r="B139" s="53" t="s">
        <v>785</v>
      </c>
      <c r="C139" s="77" t="s">
        <v>273</v>
      </c>
      <c r="D139" s="78" t="s">
        <v>274</v>
      </c>
      <c r="E139" s="6" t="s">
        <v>37</v>
      </c>
      <c r="F139" s="17">
        <v>6</v>
      </c>
      <c r="G139" s="14"/>
      <c r="H139" s="14"/>
    </row>
    <row r="140" spans="1:8">
      <c r="A140" s="52" t="s">
        <v>283</v>
      </c>
      <c r="B140" s="53" t="s">
        <v>785</v>
      </c>
      <c r="C140" s="77" t="s">
        <v>276</v>
      </c>
      <c r="D140" s="78" t="s">
        <v>277</v>
      </c>
      <c r="E140" s="6" t="s">
        <v>18</v>
      </c>
      <c r="F140" s="17">
        <v>138</v>
      </c>
      <c r="G140" s="14"/>
      <c r="H140" s="14"/>
    </row>
    <row r="141" spans="1:8">
      <c r="A141" s="52" t="s">
        <v>286</v>
      </c>
      <c r="B141" s="53" t="s">
        <v>785</v>
      </c>
      <c r="C141" s="77" t="s">
        <v>691</v>
      </c>
      <c r="D141" s="78" t="s">
        <v>690</v>
      </c>
      <c r="E141" s="6" t="s">
        <v>18</v>
      </c>
      <c r="F141" s="17">
        <v>24</v>
      </c>
      <c r="G141" s="14"/>
      <c r="H141" s="14"/>
    </row>
    <row r="142" spans="1:8" ht="29.25">
      <c r="A142" s="52" t="s">
        <v>289</v>
      </c>
      <c r="B142" s="53" t="s">
        <v>785</v>
      </c>
      <c r="C142" s="77" t="s">
        <v>284</v>
      </c>
      <c r="D142" s="78" t="s">
        <v>285</v>
      </c>
      <c r="E142" s="6" t="s">
        <v>18</v>
      </c>
      <c r="F142" s="17">
        <v>120</v>
      </c>
      <c r="G142" s="14"/>
      <c r="H142" s="14"/>
    </row>
    <row r="143" spans="1:8" ht="29.25">
      <c r="A143" s="52" t="s">
        <v>292</v>
      </c>
      <c r="B143" s="53" t="s">
        <v>785</v>
      </c>
      <c r="C143" s="77" t="s">
        <v>433</v>
      </c>
      <c r="D143" s="78" t="s">
        <v>434</v>
      </c>
      <c r="E143" s="6" t="s">
        <v>18</v>
      </c>
      <c r="F143" s="17">
        <v>600</v>
      </c>
      <c r="G143" s="14"/>
      <c r="H143" s="14"/>
    </row>
    <row r="144" spans="1:8" ht="29.25">
      <c r="A144" s="52" t="s">
        <v>295</v>
      </c>
      <c r="B144" s="53" t="s">
        <v>785</v>
      </c>
      <c r="C144" s="77" t="s">
        <v>435</v>
      </c>
      <c r="D144" s="78" t="s">
        <v>436</v>
      </c>
      <c r="E144" s="6" t="s">
        <v>18</v>
      </c>
      <c r="F144" s="17">
        <v>45</v>
      </c>
      <c r="G144" s="14"/>
      <c r="H144" s="14"/>
    </row>
    <row r="145" spans="1:8" ht="29.25">
      <c r="A145" s="52" t="s">
        <v>297</v>
      </c>
      <c r="B145" s="53" t="s">
        <v>785</v>
      </c>
      <c r="C145" s="77" t="s">
        <v>437</v>
      </c>
      <c r="D145" s="78" t="s">
        <v>438</v>
      </c>
      <c r="E145" s="6" t="s">
        <v>18</v>
      </c>
      <c r="F145" s="17">
        <v>15.51</v>
      </c>
      <c r="G145" s="14"/>
      <c r="H145" s="14"/>
    </row>
    <row r="146" spans="1:8">
      <c r="A146" s="52" t="s">
        <v>300</v>
      </c>
      <c r="B146" s="53" t="s">
        <v>785</v>
      </c>
      <c r="C146" s="77" t="s">
        <v>287</v>
      </c>
      <c r="D146" s="78" t="s">
        <v>288</v>
      </c>
      <c r="E146" s="6" t="s">
        <v>37</v>
      </c>
      <c r="F146" s="17">
        <v>18</v>
      </c>
      <c r="G146" s="14"/>
      <c r="H146" s="14"/>
    </row>
    <row r="147" spans="1:8">
      <c r="A147" s="52" t="s">
        <v>303</v>
      </c>
      <c r="B147" s="53" t="s">
        <v>785</v>
      </c>
      <c r="C147" s="77" t="s">
        <v>439</v>
      </c>
      <c r="D147" s="78" t="s">
        <v>440</v>
      </c>
      <c r="E147" s="6" t="s">
        <v>37</v>
      </c>
      <c r="F147" s="17">
        <v>6</v>
      </c>
      <c r="G147" s="14"/>
      <c r="H147" s="14"/>
    </row>
    <row r="148" spans="1:8">
      <c r="A148" s="52" t="s">
        <v>306</v>
      </c>
      <c r="B148" s="53" t="s">
        <v>785</v>
      </c>
      <c r="C148" s="77" t="s">
        <v>290</v>
      </c>
      <c r="D148" s="78" t="s">
        <v>291</v>
      </c>
      <c r="E148" s="6" t="s">
        <v>37</v>
      </c>
      <c r="F148" s="17">
        <v>14</v>
      </c>
      <c r="G148" s="14"/>
      <c r="H148" s="14"/>
    </row>
    <row r="149" spans="1:8">
      <c r="A149" s="52" t="s">
        <v>441</v>
      </c>
      <c r="B149" s="53" t="s">
        <v>785</v>
      </c>
      <c r="C149" s="77" t="s">
        <v>442</v>
      </c>
      <c r="D149" s="78" t="s">
        <v>443</v>
      </c>
      <c r="E149" s="6" t="s">
        <v>294</v>
      </c>
      <c r="F149" s="17">
        <v>3</v>
      </c>
      <c r="G149" s="14"/>
      <c r="H149" s="14"/>
    </row>
    <row r="150" spans="1:8">
      <c r="A150" s="52" t="s">
        <v>444</v>
      </c>
      <c r="B150" s="53" t="s">
        <v>785</v>
      </c>
      <c r="C150" s="77" t="s">
        <v>445</v>
      </c>
      <c r="D150" s="78" t="s">
        <v>446</v>
      </c>
      <c r="E150" s="6" t="s">
        <v>294</v>
      </c>
      <c r="F150" s="17">
        <v>6</v>
      </c>
      <c r="G150" s="14"/>
      <c r="H150" s="14"/>
    </row>
    <row r="151" spans="1:8">
      <c r="A151" s="52" t="s">
        <v>447</v>
      </c>
      <c r="B151" s="53" t="s">
        <v>785</v>
      </c>
      <c r="C151" s="77" t="s">
        <v>448</v>
      </c>
      <c r="D151" s="78" t="s">
        <v>296</v>
      </c>
      <c r="E151" s="6" t="s">
        <v>294</v>
      </c>
      <c r="F151" s="17">
        <v>5</v>
      </c>
      <c r="G151" s="14"/>
      <c r="H151" s="14"/>
    </row>
    <row r="152" spans="1:8">
      <c r="A152" s="52" t="s">
        <v>449</v>
      </c>
      <c r="B152" s="53" t="s">
        <v>785</v>
      </c>
      <c r="C152" s="77" t="s">
        <v>450</v>
      </c>
      <c r="D152" s="78" t="s">
        <v>451</v>
      </c>
      <c r="E152" s="6" t="s">
        <v>294</v>
      </c>
      <c r="F152" s="17">
        <v>13</v>
      </c>
      <c r="G152" s="14"/>
      <c r="H152" s="14"/>
    </row>
    <row r="153" spans="1:8">
      <c r="A153" s="52" t="s">
        <v>452</v>
      </c>
      <c r="B153" s="53" t="s">
        <v>785</v>
      </c>
      <c r="C153" s="77" t="s">
        <v>298</v>
      </c>
      <c r="D153" s="78" t="s">
        <v>299</v>
      </c>
      <c r="E153" s="6" t="s">
        <v>98</v>
      </c>
      <c r="F153" s="17">
        <f>(0.403*3)</f>
        <v>1.2090000000000001</v>
      </c>
      <c r="G153" s="14"/>
      <c r="H153" s="14"/>
    </row>
    <row r="154" spans="1:8">
      <c r="A154" s="52" t="s">
        <v>453</v>
      </c>
      <c r="B154" s="53" t="s">
        <v>785</v>
      </c>
      <c r="C154" s="77" t="s">
        <v>301</v>
      </c>
      <c r="D154" s="78" t="s">
        <v>302</v>
      </c>
      <c r="E154" s="6" t="s">
        <v>18</v>
      </c>
      <c r="F154" s="17">
        <f>(4+4+18)</f>
        <v>26</v>
      </c>
      <c r="G154" s="14"/>
      <c r="H154" s="14"/>
    </row>
    <row r="155" spans="1:8">
      <c r="A155" s="52"/>
      <c r="B155" s="6"/>
      <c r="C155" s="77"/>
      <c r="D155" s="74" t="s">
        <v>307</v>
      </c>
      <c r="E155" s="6"/>
      <c r="F155" s="6"/>
      <c r="G155" s="14"/>
      <c r="H155" s="19"/>
    </row>
    <row r="156" spans="1:8">
      <c r="A156" s="38">
        <v>14</v>
      </c>
      <c r="B156" s="12"/>
      <c r="C156" s="12"/>
      <c r="D156" s="7" t="s">
        <v>308</v>
      </c>
      <c r="E156" s="12"/>
      <c r="F156" s="12"/>
      <c r="G156" s="16"/>
      <c r="H156" s="15"/>
    </row>
    <row r="157" spans="1:8">
      <c r="A157" s="52" t="s">
        <v>454</v>
      </c>
      <c r="B157" s="53" t="s">
        <v>785</v>
      </c>
      <c r="C157" s="6" t="s">
        <v>455</v>
      </c>
      <c r="D157" s="76" t="s">
        <v>456</v>
      </c>
      <c r="E157" s="6" t="s">
        <v>37</v>
      </c>
      <c r="F157" s="6">
        <v>2</v>
      </c>
      <c r="G157" s="14"/>
      <c r="H157" s="14"/>
    </row>
    <row r="158" spans="1:8">
      <c r="A158" s="52" t="s">
        <v>309</v>
      </c>
      <c r="B158" s="53" t="s">
        <v>785</v>
      </c>
      <c r="C158" s="6" t="s">
        <v>310</v>
      </c>
      <c r="D158" s="76" t="s">
        <v>311</v>
      </c>
      <c r="E158" s="6" t="s">
        <v>18</v>
      </c>
      <c r="F158" s="17">
        <f>(25+20.2+(8*2.5))</f>
        <v>65.2</v>
      </c>
      <c r="G158" s="14"/>
      <c r="H158" s="14"/>
    </row>
    <row r="159" spans="1:8">
      <c r="A159" s="52" t="s">
        <v>312</v>
      </c>
      <c r="B159" s="53" t="s">
        <v>785</v>
      </c>
      <c r="C159" s="6" t="s">
        <v>457</v>
      </c>
      <c r="D159" s="76" t="s">
        <v>458</v>
      </c>
      <c r="E159" s="6" t="s">
        <v>18</v>
      </c>
      <c r="F159" s="17">
        <v>12</v>
      </c>
      <c r="G159" s="14"/>
      <c r="H159" s="14"/>
    </row>
    <row r="160" spans="1:8">
      <c r="A160" s="52" t="s">
        <v>315</v>
      </c>
      <c r="B160" s="53" t="s">
        <v>785</v>
      </c>
      <c r="C160" s="6" t="s">
        <v>313</v>
      </c>
      <c r="D160" s="76" t="s">
        <v>314</v>
      </c>
      <c r="E160" s="6" t="s">
        <v>18</v>
      </c>
      <c r="F160" s="17">
        <f>(17*2.6)+3</f>
        <v>47.2</v>
      </c>
      <c r="G160" s="14"/>
      <c r="H160" s="14"/>
    </row>
    <row r="161" spans="1:10">
      <c r="A161" s="52" t="s">
        <v>318</v>
      </c>
      <c r="B161" s="53" t="s">
        <v>785</v>
      </c>
      <c r="C161" s="6" t="s">
        <v>459</v>
      </c>
      <c r="D161" s="76" t="s">
        <v>460</v>
      </c>
      <c r="E161" s="6" t="s">
        <v>18</v>
      </c>
      <c r="F161" s="17">
        <f>6.4+11+8</f>
        <v>25.4</v>
      </c>
      <c r="G161" s="14"/>
      <c r="H161" s="14"/>
    </row>
    <row r="162" spans="1:10" ht="29.25">
      <c r="A162" s="52" t="s">
        <v>321</v>
      </c>
      <c r="B162" s="53" t="s">
        <v>785</v>
      </c>
      <c r="C162" s="6" t="s">
        <v>316</v>
      </c>
      <c r="D162" s="78" t="s">
        <v>317</v>
      </c>
      <c r="E162" s="6" t="s">
        <v>18</v>
      </c>
      <c r="F162" s="17">
        <v>23.5</v>
      </c>
      <c r="G162" s="14"/>
      <c r="H162" s="14"/>
      <c r="J162" s="181"/>
    </row>
    <row r="163" spans="1:10" ht="29.25">
      <c r="A163" s="52" t="s">
        <v>324</v>
      </c>
      <c r="B163" s="53" t="s">
        <v>785</v>
      </c>
      <c r="C163" s="6" t="s">
        <v>461</v>
      </c>
      <c r="D163" s="78" t="s">
        <v>462</v>
      </c>
      <c r="E163" s="6" t="s">
        <v>18</v>
      </c>
      <c r="F163" s="17">
        <f>(10+4.8+4.8+4+3)</f>
        <v>26.6</v>
      </c>
      <c r="G163" s="14"/>
      <c r="H163" s="14"/>
    </row>
    <row r="164" spans="1:10" ht="29.25">
      <c r="A164" s="52" t="s">
        <v>327</v>
      </c>
      <c r="B164" s="53" t="s">
        <v>785</v>
      </c>
      <c r="C164" s="6" t="s">
        <v>319</v>
      </c>
      <c r="D164" s="78" t="s">
        <v>320</v>
      </c>
      <c r="E164" s="6" t="s">
        <v>18</v>
      </c>
      <c r="F164" s="17">
        <f>(1.4*15)+7.2+6.4+15+9.9</f>
        <v>59.5</v>
      </c>
      <c r="G164" s="14"/>
      <c r="H164" s="14"/>
    </row>
    <row r="165" spans="1:10">
      <c r="A165" s="52" t="s">
        <v>330</v>
      </c>
      <c r="B165" s="53" t="s">
        <v>785</v>
      </c>
      <c r="C165" s="6" t="s">
        <v>322</v>
      </c>
      <c r="D165" s="76" t="s">
        <v>323</v>
      </c>
      <c r="E165" s="6" t="s">
        <v>37</v>
      </c>
      <c r="F165" s="17">
        <v>7</v>
      </c>
      <c r="G165" s="14"/>
      <c r="H165" s="14"/>
    </row>
    <row r="166" spans="1:10">
      <c r="A166" s="52" t="s">
        <v>463</v>
      </c>
      <c r="B166" s="53" t="s">
        <v>785</v>
      </c>
      <c r="C166" s="6" t="s">
        <v>325</v>
      </c>
      <c r="D166" s="76" t="s">
        <v>465</v>
      </c>
      <c r="E166" s="6" t="s">
        <v>37</v>
      </c>
      <c r="F166" s="17">
        <v>4</v>
      </c>
      <c r="G166" s="14"/>
      <c r="H166" s="14"/>
    </row>
    <row r="167" spans="1:10">
      <c r="A167" s="52" t="s">
        <v>464</v>
      </c>
      <c r="B167" s="53" t="s">
        <v>785</v>
      </c>
      <c r="C167" s="6" t="s">
        <v>467</v>
      </c>
      <c r="D167" s="76" t="s">
        <v>468</v>
      </c>
      <c r="E167" s="6" t="s">
        <v>37</v>
      </c>
      <c r="F167" s="17">
        <v>2</v>
      </c>
      <c r="G167" s="14"/>
      <c r="H167" s="14"/>
    </row>
    <row r="168" spans="1:10" ht="29.25">
      <c r="A168" s="52" t="s">
        <v>466</v>
      </c>
      <c r="B168" s="53" t="s">
        <v>785</v>
      </c>
      <c r="C168" s="6" t="s">
        <v>328</v>
      </c>
      <c r="D168" s="78" t="s">
        <v>329</v>
      </c>
      <c r="E168" s="6" t="s">
        <v>37</v>
      </c>
      <c r="F168" s="17">
        <v>5</v>
      </c>
      <c r="G168" s="14"/>
      <c r="H168" s="14"/>
    </row>
    <row r="169" spans="1:10" ht="29.25">
      <c r="A169" s="52" t="s">
        <v>469</v>
      </c>
      <c r="B169" s="53" t="s">
        <v>785</v>
      </c>
      <c r="C169" s="6" t="s">
        <v>331</v>
      </c>
      <c r="D169" s="78" t="s">
        <v>332</v>
      </c>
      <c r="E169" s="6" t="s">
        <v>37</v>
      </c>
      <c r="F169" s="17">
        <v>2</v>
      </c>
      <c r="G169" s="14"/>
      <c r="H169" s="14"/>
    </row>
    <row r="170" spans="1:10">
      <c r="A170" s="52" t="s">
        <v>470</v>
      </c>
      <c r="B170" s="53" t="s">
        <v>785</v>
      </c>
      <c r="C170" s="6" t="s">
        <v>472</v>
      </c>
      <c r="D170" s="78" t="s">
        <v>473</v>
      </c>
      <c r="E170" s="6" t="s">
        <v>37</v>
      </c>
      <c r="F170" s="17">
        <v>17</v>
      </c>
      <c r="G170" s="14"/>
      <c r="H170" s="14"/>
    </row>
    <row r="171" spans="1:10" ht="29.25">
      <c r="A171" s="52" t="s">
        <v>471</v>
      </c>
      <c r="B171" s="53" t="s">
        <v>785</v>
      </c>
      <c r="C171" s="6" t="s">
        <v>693</v>
      </c>
      <c r="D171" s="78" t="s">
        <v>692</v>
      </c>
      <c r="E171" s="6" t="s">
        <v>37</v>
      </c>
      <c r="F171" s="17">
        <v>2</v>
      </c>
      <c r="G171" s="14"/>
      <c r="H171" s="14"/>
    </row>
    <row r="172" spans="1:10">
      <c r="A172" s="52" t="s">
        <v>474</v>
      </c>
      <c r="B172" s="53" t="s">
        <v>785</v>
      </c>
      <c r="C172" s="6" t="s">
        <v>501</v>
      </c>
      <c r="D172" s="76" t="s">
        <v>500</v>
      </c>
      <c r="E172" s="6" t="s">
        <v>37</v>
      </c>
      <c r="F172" s="17">
        <v>8</v>
      </c>
      <c r="G172" s="14"/>
      <c r="H172" s="14"/>
    </row>
    <row r="173" spans="1:10">
      <c r="A173" s="52" t="s">
        <v>502</v>
      </c>
      <c r="B173" s="53" t="s">
        <v>785</v>
      </c>
      <c r="C173" s="6" t="s">
        <v>499</v>
      </c>
      <c r="D173" s="76" t="s">
        <v>498</v>
      </c>
      <c r="E173" s="6" t="s">
        <v>37</v>
      </c>
      <c r="F173" s="17">
        <v>8</v>
      </c>
      <c r="G173" s="14"/>
      <c r="H173" s="14"/>
    </row>
    <row r="174" spans="1:10">
      <c r="A174" s="52" t="s">
        <v>503</v>
      </c>
      <c r="B174" s="53" t="s">
        <v>785</v>
      </c>
      <c r="C174" s="6" t="s">
        <v>505</v>
      </c>
      <c r="D174" s="76" t="s">
        <v>504</v>
      </c>
      <c r="E174" s="6" t="s">
        <v>37</v>
      </c>
      <c r="F174" s="17">
        <v>4</v>
      </c>
      <c r="G174" s="14"/>
      <c r="H174" s="14"/>
    </row>
    <row r="175" spans="1:10">
      <c r="A175" s="52"/>
      <c r="B175" s="6"/>
      <c r="C175" s="6"/>
      <c r="D175" s="74" t="s">
        <v>333</v>
      </c>
      <c r="E175" s="6"/>
      <c r="F175" s="17"/>
      <c r="G175" s="14"/>
      <c r="H175" s="19"/>
    </row>
    <row r="176" spans="1:10">
      <c r="A176" s="38">
        <v>15</v>
      </c>
      <c r="B176" s="12"/>
      <c r="C176" s="12"/>
      <c r="D176" s="7" t="s">
        <v>334</v>
      </c>
      <c r="E176" s="12"/>
      <c r="F176" s="12"/>
      <c r="G176" s="16"/>
      <c r="H176" s="15"/>
    </row>
    <row r="177" spans="1:8">
      <c r="A177" s="97" t="s">
        <v>335</v>
      </c>
      <c r="B177" s="53" t="s">
        <v>785</v>
      </c>
      <c r="C177" s="6" t="s">
        <v>336</v>
      </c>
      <c r="D177" s="76" t="s">
        <v>337</v>
      </c>
      <c r="E177" s="6" t="s">
        <v>37</v>
      </c>
      <c r="F177" s="6">
        <v>2</v>
      </c>
      <c r="G177" s="14"/>
      <c r="H177" s="14"/>
    </row>
    <row r="178" spans="1:8">
      <c r="A178" s="97" t="s">
        <v>338</v>
      </c>
      <c r="B178" s="53" t="s">
        <v>785</v>
      </c>
      <c r="C178" s="6" t="s">
        <v>339</v>
      </c>
      <c r="D178" s="76" t="s">
        <v>340</v>
      </c>
      <c r="E178" s="6" t="s">
        <v>37</v>
      </c>
      <c r="F178" s="6">
        <v>2</v>
      </c>
      <c r="G178" s="14"/>
      <c r="H178" s="14"/>
    </row>
    <row r="179" spans="1:8" ht="29.25">
      <c r="A179" s="97" t="s">
        <v>341</v>
      </c>
      <c r="B179" s="53" t="s">
        <v>785</v>
      </c>
      <c r="C179" s="6" t="s">
        <v>342</v>
      </c>
      <c r="D179" s="78" t="s">
        <v>343</v>
      </c>
      <c r="E179" s="6" t="s">
        <v>37</v>
      </c>
      <c r="F179" s="6">
        <v>5</v>
      </c>
      <c r="G179" s="14"/>
      <c r="H179" s="14"/>
    </row>
    <row r="180" spans="1:8" ht="28.5">
      <c r="A180" s="97" t="s">
        <v>344</v>
      </c>
      <c r="B180" s="53" t="s">
        <v>785</v>
      </c>
      <c r="C180" s="6" t="s">
        <v>793</v>
      </c>
      <c r="D180" s="82" t="s">
        <v>345</v>
      </c>
      <c r="E180" s="6" t="s">
        <v>37</v>
      </c>
      <c r="F180" s="6">
        <v>4</v>
      </c>
      <c r="G180" s="14"/>
      <c r="H180" s="14"/>
    </row>
    <row r="181" spans="1:8" ht="29.25">
      <c r="A181" s="97" t="s">
        <v>475</v>
      </c>
      <c r="B181" s="53" t="s">
        <v>785</v>
      </c>
      <c r="C181" s="6" t="s">
        <v>476</v>
      </c>
      <c r="D181" s="78" t="s">
        <v>477</v>
      </c>
      <c r="E181" s="6" t="s">
        <v>16</v>
      </c>
      <c r="F181" s="17">
        <f>(4*0.25)</f>
        <v>1</v>
      </c>
      <c r="G181" s="14"/>
      <c r="H181" s="14"/>
    </row>
    <row r="182" spans="1:8" ht="29.25">
      <c r="A182" s="97" t="s">
        <v>478</v>
      </c>
      <c r="B182" s="53" t="s">
        <v>785</v>
      </c>
      <c r="C182" s="6" t="s">
        <v>479</v>
      </c>
      <c r="D182" s="78" t="s">
        <v>480</v>
      </c>
      <c r="E182" s="6" t="s">
        <v>16</v>
      </c>
      <c r="F182" s="17">
        <f>ROUND(1.5*0.25,2)</f>
        <v>0.38</v>
      </c>
      <c r="G182" s="14"/>
      <c r="H182" s="14"/>
    </row>
    <row r="183" spans="1:8" ht="29.25">
      <c r="A183" s="52" t="s">
        <v>481</v>
      </c>
      <c r="B183" s="53" t="s">
        <v>785</v>
      </c>
      <c r="C183" s="6" t="s">
        <v>482</v>
      </c>
      <c r="D183" s="78" t="s">
        <v>483</v>
      </c>
      <c r="E183" s="6" t="s">
        <v>294</v>
      </c>
      <c r="F183" s="17">
        <v>2</v>
      </c>
      <c r="G183" s="14"/>
      <c r="H183" s="14"/>
    </row>
    <row r="184" spans="1:8">
      <c r="A184" s="97"/>
      <c r="B184" s="6"/>
      <c r="C184" s="6"/>
      <c r="D184" s="71" t="s">
        <v>346</v>
      </c>
      <c r="E184" s="6"/>
      <c r="F184" s="17"/>
      <c r="G184" s="14"/>
      <c r="H184" s="19"/>
    </row>
    <row r="185" spans="1:8">
      <c r="A185" s="155">
        <v>16</v>
      </c>
      <c r="B185" s="13"/>
      <c r="C185" s="13"/>
      <c r="D185" s="154" t="s">
        <v>799</v>
      </c>
      <c r="E185" s="13"/>
      <c r="F185" s="153"/>
      <c r="G185" s="151"/>
      <c r="H185" s="152"/>
    </row>
    <row r="186" spans="1:8">
      <c r="A186" s="53" t="s">
        <v>484</v>
      </c>
      <c r="B186" s="53" t="s">
        <v>785</v>
      </c>
      <c r="C186" s="32" t="s">
        <v>805</v>
      </c>
      <c r="D186" s="158" t="s">
        <v>804</v>
      </c>
      <c r="E186" s="32" t="s">
        <v>16</v>
      </c>
      <c r="F186" s="42">
        <v>151.57</v>
      </c>
      <c r="G186" s="159"/>
      <c r="H186" s="159"/>
    </row>
    <row r="187" spans="1:8">
      <c r="A187" s="52" t="s">
        <v>803</v>
      </c>
      <c r="B187" s="53" t="s">
        <v>785</v>
      </c>
      <c r="C187" s="6" t="s">
        <v>802</v>
      </c>
      <c r="D187" s="73" t="s">
        <v>801</v>
      </c>
      <c r="E187" s="6" t="s">
        <v>16</v>
      </c>
      <c r="F187" s="17">
        <v>151.57</v>
      </c>
      <c r="G187" s="157"/>
      <c r="H187" s="159"/>
    </row>
    <row r="188" spans="1:8">
      <c r="A188" s="97"/>
      <c r="B188" s="6"/>
      <c r="C188" s="6"/>
      <c r="D188" s="71" t="s">
        <v>485</v>
      </c>
      <c r="E188" s="6"/>
      <c r="F188" s="17"/>
      <c r="G188" s="156"/>
      <c r="H188" s="160"/>
    </row>
    <row r="189" spans="1:8">
      <c r="A189" s="97"/>
      <c r="B189" s="6"/>
      <c r="C189" s="6"/>
      <c r="D189" s="71"/>
      <c r="E189" s="6"/>
      <c r="F189" s="17"/>
      <c r="G189" s="14"/>
      <c r="H189" s="19"/>
    </row>
    <row r="190" spans="1:8">
      <c r="A190" s="38">
        <v>17</v>
      </c>
      <c r="B190" s="12"/>
      <c r="C190" s="12"/>
      <c r="D190" s="7" t="s">
        <v>347</v>
      </c>
      <c r="E190" s="12"/>
      <c r="F190" s="12"/>
      <c r="G190" s="16"/>
      <c r="H190" s="15"/>
    </row>
    <row r="191" spans="1:8">
      <c r="A191" s="52" t="s">
        <v>800</v>
      </c>
      <c r="B191" s="53" t="s">
        <v>785</v>
      </c>
      <c r="C191" s="6" t="s">
        <v>348</v>
      </c>
      <c r="D191" s="1" t="s">
        <v>349</v>
      </c>
      <c r="E191" s="6" t="s">
        <v>16</v>
      </c>
      <c r="F191" s="17">
        <v>113.36</v>
      </c>
      <c r="G191" s="14"/>
      <c r="H191" s="14"/>
    </row>
    <row r="192" spans="1:8">
      <c r="A192" s="52"/>
      <c r="B192" s="6"/>
      <c r="C192" s="6"/>
      <c r="D192" s="23" t="s">
        <v>806</v>
      </c>
      <c r="E192" s="6"/>
      <c r="F192" s="17"/>
      <c r="G192" s="14"/>
      <c r="H192" s="19"/>
    </row>
    <row r="193" spans="1:11">
      <c r="A193" s="98"/>
      <c r="B193" s="84"/>
      <c r="C193" s="84"/>
      <c r="D193" s="85"/>
      <c r="E193" s="85"/>
      <c r="F193" s="84"/>
      <c r="G193" s="85"/>
      <c r="H193" s="85"/>
    </row>
    <row r="194" spans="1:11">
      <c r="A194" s="94"/>
      <c r="B194" s="13"/>
      <c r="C194" s="13"/>
      <c r="D194" s="87" t="s">
        <v>35</v>
      </c>
      <c r="E194" s="2"/>
      <c r="F194" s="13"/>
      <c r="G194" s="2"/>
      <c r="H194" s="16"/>
    </row>
    <row r="195" spans="1:11" ht="15.75">
      <c r="A195" s="94"/>
      <c r="B195" s="86"/>
      <c r="C195" s="86"/>
      <c r="D195" s="149" t="s">
        <v>795</v>
      </c>
      <c r="E195" s="86"/>
      <c r="F195" s="86"/>
      <c r="G195" s="150"/>
      <c r="H195" s="88"/>
    </row>
    <row r="196" spans="1:11">
      <c r="A196" s="38"/>
      <c r="B196" s="7"/>
      <c r="C196" s="7"/>
      <c r="D196" s="87" t="s">
        <v>486</v>
      </c>
      <c r="E196" s="7"/>
      <c r="F196" s="7"/>
      <c r="G196" s="7"/>
      <c r="H196" s="62"/>
    </row>
    <row r="197" spans="1:11">
      <c r="A197" s="99"/>
      <c r="B197" s="30"/>
      <c r="C197" s="30"/>
      <c r="D197" s="30"/>
      <c r="E197" s="30"/>
      <c r="F197" s="30"/>
      <c r="G197" s="30"/>
      <c r="H197" s="30"/>
    </row>
    <row r="198" spans="1:11" ht="30">
      <c r="A198" s="38" t="s">
        <v>40</v>
      </c>
      <c r="B198" s="7"/>
      <c r="C198" s="7"/>
      <c r="D198" s="27" t="s">
        <v>350</v>
      </c>
      <c r="E198" s="12"/>
      <c r="F198" s="18"/>
      <c r="G198" s="16"/>
      <c r="H198" s="15"/>
      <c r="K198" s="20"/>
    </row>
    <row r="199" spans="1:11">
      <c r="A199" s="38">
        <v>1</v>
      </c>
      <c r="B199" s="2"/>
      <c r="C199" s="2"/>
      <c r="D199" s="10" t="s">
        <v>73</v>
      </c>
      <c r="E199" s="2"/>
      <c r="F199" s="2"/>
      <c r="G199" s="15"/>
      <c r="H199" s="15"/>
      <c r="K199" s="20"/>
    </row>
    <row r="200" spans="1:11" ht="28.5">
      <c r="A200" s="53" t="s">
        <v>9</v>
      </c>
      <c r="B200" s="53" t="s">
        <v>785</v>
      </c>
      <c r="C200" s="32" t="s">
        <v>75</v>
      </c>
      <c r="D200" s="29" t="s">
        <v>752</v>
      </c>
      <c r="E200" s="53" t="s">
        <v>16</v>
      </c>
      <c r="F200" s="42">
        <v>57.91</v>
      </c>
      <c r="G200" s="68"/>
      <c r="H200" s="68"/>
      <c r="K200" s="20"/>
    </row>
    <row r="201" spans="1:11" ht="28.5">
      <c r="A201" s="53" t="s">
        <v>23</v>
      </c>
      <c r="B201" s="53" t="s">
        <v>785</v>
      </c>
      <c r="C201" s="53" t="s">
        <v>768</v>
      </c>
      <c r="D201" s="29" t="s">
        <v>769</v>
      </c>
      <c r="E201" s="53" t="s">
        <v>17</v>
      </c>
      <c r="F201" s="42">
        <f>(0.5*0.5*0.5*12)*1.3</f>
        <v>1.9500000000000002</v>
      </c>
      <c r="G201" s="68"/>
      <c r="H201" s="68"/>
      <c r="K201" s="20"/>
    </row>
    <row r="202" spans="1:11">
      <c r="A202" s="52" t="s">
        <v>51</v>
      </c>
      <c r="B202" s="53" t="s">
        <v>785</v>
      </c>
      <c r="C202" s="52" t="s">
        <v>77</v>
      </c>
      <c r="D202" s="22" t="s">
        <v>78</v>
      </c>
      <c r="E202" s="6" t="s">
        <v>17</v>
      </c>
      <c r="F202" s="70">
        <f>(57.91*0.2)</f>
        <v>11.582000000000001</v>
      </c>
      <c r="G202" s="14"/>
      <c r="H202" s="14"/>
      <c r="K202" s="20"/>
    </row>
    <row r="203" spans="1:11">
      <c r="A203" s="52" t="s">
        <v>62</v>
      </c>
      <c r="B203" s="53" t="s">
        <v>785</v>
      </c>
      <c r="C203" s="52" t="s">
        <v>79</v>
      </c>
      <c r="D203" s="11" t="s">
        <v>80</v>
      </c>
      <c r="E203" s="6" t="s">
        <v>16</v>
      </c>
      <c r="F203" s="70">
        <f>7.61*7.61</f>
        <v>57.912100000000002</v>
      </c>
      <c r="G203" s="14"/>
      <c r="H203" s="14"/>
      <c r="K203" s="20"/>
    </row>
    <row r="204" spans="1:11">
      <c r="A204" s="52" t="s">
        <v>354</v>
      </c>
      <c r="B204" s="53" t="s">
        <v>785</v>
      </c>
      <c r="C204" s="52" t="s">
        <v>81</v>
      </c>
      <c r="D204" s="11" t="s">
        <v>82</v>
      </c>
      <c r="E204" s="6" t="s">
        <v>83</v>
      </c>
      <c r="F204" s="70">
        <v>3</v>
      </c>
      <c r="G204" s="14"/>
      <c r="H204" s="14"/>
      <c r="K204" s="20"/>
    </row>
    <row r="205" spans="1:11">
      <c r="A205" s="52"/>
      <c r="B205" s="6"/>
      <c r="C205" s="6"/>
      <c r="D205" s="71" t="s">
        <v>21</v>
      </c>
      <c r="E205" s="6"/>
      <c r="F205" s="17"/>
      <c r="G205" s="14"/>
      <c r="H205" s="19"/>
      <c r="K205" s="20"/>
    </row>
    <row r="206" spans="1:11">
      <c r="A206" s="38">
        <v>2</v>
      </c>
      <c r="B206" s="7"/>
      <c r="C206" s="7"/>
      <c r="D206" s="10" t="s">
        <v>84</v>
      </c>
      <c r="E206" s="12"/>
      <c r="F206" s="12"/>
      <c r="G206" s="16"/>
      <c r="H206" s="16"/>
      <c r="K206" s="20"/>
    </row>
    <row r="207" spans="1:11">
      <c r="A207" s="52" t="s">
        <v>59</v>
      </c>
      <c r="B207" s="53" t="s">
        <v>785</v>
      </c>
      <c r="C207" s="6" t="s">
        <v>85</v>
      </c>
      <c r="D207" s="11" t="s">
        <v>86</v>
      </c>
      <c r="E207" s="6" t="s">
        <v>18</v>
      </c>
      <c r="F207" s="17">
        <f>(9*12)</f>
        <v>108</v>
      </c>
      <c r="G207" s="14"/>
      <c r="H207" s="14"/>
      <c r="K207" s="20"/>
    </row>
    <row r="208" spans="1:11">
      <c r="A208" s="52" t="s">
        <v>72</v>
      </c>
      <c r="B208" s="53" t="s">
        <v>785</v>
      </c>
      <c r="C208" s="6" t="s">
        <v>87</v>
      </c>
      <c r="D208" s="11" t="s">
        <v>88</v>
      </c>
      <c r="E208" s="6" t="s">
        <v>17</v>
      </c>
      <c r="F208" s="17">
        <f>(0.049*9*12)</f>
        <v>5.2919999999999998</v>
      </c>
      <c r="G208" s="14"/>
      <c r="H208" s="14"/>
      <c r="K208" s="20"/>
    </row>
    <row r="209" spans="1:11">
      <c r="A209" s="52" t="s">
        <v>89</v>
      </c>
      <c r="B209" s="53" t="s">
        <v>785</v>
      </c>
      <c r="C209" s="6" t="s">
        <v>90</v>
      </c>
      <c r="D209" s="11" t="s">
        <v>91</v>
      </c>
      <c r="E209" s="6" t="s">
        <v>17</v>
      </c>
      <c r="F209" s="17">
        <f>(0.3*0.2*25.3)</f>
        <v>1.518</v>
      </c>
      <c r="G209" s="14"/>
      <c r="H209" s="14"/>
      <c r="K209" s="20"/>
    </row>
    <row r="210" spans="1:11">
      <c r="A210" s="52" t="s">
        <v>92</v>
      </c>
      <c r="B210" s="53" t="s">
        <v>785</v>
      </c>
      <c r="C210" s="6" t="s">
        <v>93</v>
      </c>
      <c r="D210" s="22" t="s">
        <v>94</v>
      </c>
      <c r="E210" s="6" t="s">
        <v>17</v>
      </c>
      <c r="F210" s="17">
        <f>25.3*0.3*0.2</f>
        <v>1.518</v>
      </c>
      <c r="G210" s="14"/>
      <c r="H210" s="14"/>
      <c r="K210" s="20"/>
    </row>
    <row r="211" spans="1:11">
      <c r="A211" s="52" t="s">
        <v>95</v>
      </c>
      <c r="B211" s="53" t="s">
        <v>785</v>
      </c>
      <c r="C211" s="6" t="s">
        <v>96</v>
      </c>
      <c r="D211" s="11" t="s">
        <v>97</v>
      </c>
      <c r="E211" s="6" t="s">
        <v>98</v>
      </c>
      <c r="F211" s="17">
        <f>F210*80*0.8</f>
        <v>97.152000000000001</v>
      </c>
      <c r="G211" s="14"/>
      <c r="H211" s="14"/>
      <c r="K211" s="20"/>
    </row>
    <row r="212" spans="1:11">
      <c r="A212" s="52" t="s">
        <v>99</v>
      </c>
      <c r="B212" s="53" t="s">
        <v>785</v>
      </c>
      <c r="C212" s="6" t="s">
        <v>100</v>
      </c>
      <c r="D212" s="11" t="s">
        <v>101</v>
      </c>
      <c r="E212" s="6" t="s">
        <v>98</v>
      </c>
      <c r="F212" s="17">
        <f>F210*80*0.2</f>
        <v>24.288</v>
      </c>
      <c r="G212" s="14"/>
      <c r="H212" s="14"/>
      <c r="K212" s="20"/>
    </row>
    <row r="213" spans="1:11">
      <c r="A213" s="52" t="s">
        <v>359</v>
      </c>
      <c r="B213" s="53" t="s">
        <v>785</v>
      </c>
      <c r="C213" s="6" t="s">
        <v>102</v>
      </c>
      <c r="D213" s="14" t="s">
        <v>103</v>
      </c>
      <c r="E213" s="6" t="s">
        <v>16</v>
      </c>
      <c r="F213" s="17">
        <f>25.3*0.6</f>
        <v>15.18</v>
      </c>
      <c r="G213" s="14"/>
      <c r="H213" s="14"/>
      <c r="K213" s="20"/>
    </row>
    <row r="214" spans="1:11">
      <c r="A214" s="52" t="s">
        <v>104</v>
      </c>
      <c r="B214" s="53" t="s">
        <v>785</v>
      </c>
      <c r="C214" s="6" t="s">
        <v>90</v>
      </c>
      <c r="D214" s="11" t="s">
        <v>105</v>
      </c>
      <c r="E214" s="6" t="s">
        <v>17</v>
      </c>
      <c r="F214" s="17">
        <f>(0.5*0.5*0.5*12)</f>
        <v>1.5</v>
      </c>
      <c r="G214" s="14"/>
      <c r="H214" s="14"/>
      <c r="K214" s="20"/>
    </row>
    <row r="215" spans="1:11">
      <c r="A215" s="52" t="s">
        <v>106</v>
      </c>
      <c r="B215" s="53" t="s">
        <v>785</v>
      </c>
      <c r="C215" s="6" t="s">
        <v>96</v>
      </c>
      <c r="D215" s="11" t="s">
        <v>109</v>
      </c>
      <c r="E215" s="6" t="s">
        <v>98</v>
      </c>
      <c r="F215" s="17">
        <f>F214*80*0.8</f>
        <v>96</v>
      </c>
      <c r="G215" s="14"/>
      <c r="H215" s="14"/>
      <c r="K215" s="20"/>
    </row>
    <row r="216" spans="1:11">
      <c r="A216" s="52" t="s">
        <v>108</v>
      </c>
      <c r="B216" s="53" t="s">
        <v>785</v>
      </c>
      <c r="C216" s="6" t="s">
        <v>100</v>
      </c>
      <c r="D216" s="11" t="s">
        <v>111</v>
      </c>
      <c r="E216" s="6" t="s">
        <v>98</v>
      </c>
      <c r="F216" s="17">
        <f>F214*80*0.2</f>
        <v>24</v>
      </c>
      <c r="G216" s="14"/>
      <c r="H216" s="14"/>
      <c r="K216" s="20"/>
    </row>
    <row r="217" spans="1:11">
      <c r="A217" s="52" t="s">
        <v>110</v>
      </c>
      <c r="B217" s="53" t="s">
        <v>785</v>
      </c>
      <c r="C217" s="6" t="s">
        <v>140</v>
      </c>
      <c r="D217" s="11" t="s">
        <v>362</v>
      </c>
      <c r="E217" s="6" t="s">
        <v>17</v>
      </c>
      <c r="F217" s="17">
        <v>1.5</v>
      </c>
      <c r="G217" s="14"/>
      <c r="H217" s="14"/>
      <c r="K217" s="20"/>
    </row>
    <row r="218" spans="1:11">
      <c r="A218" s="52" t="s">
        <v>112</v>
      </c>
      <c r="B218" s="53" t="s">
        <v>785</v>
      </c>
      <c r="C218" s="6" t="s">
        <v>113</v>
      </c>
      <c r="D218" s="11" t="s">
        <v>114</v>
      </c>
      <c r="E218" s="6" t="s">
        <v>17</v>
      </c>
      <c r="F218" s="17">
        <f>(0.5*0.5*0.03*12)+(25.3*0.2*0.03)</f>
        <v>0.24180000000000001</v>
      </c>
      <c r="G218" s="14"/>
      <c r="H218" s="14"/>
      <c r="K218" s="20"/>
    </row>
    <row r="219" spans="1:11">
      <c r="A219" s="52" t="s">
        <v>115</v>
      </c>
      <c r="B219" s="53" t="s">
        <v>785</v>
      </c>
      <c r="C219" s="6" t="s">
        <v>116</v>
      </c>
      <c r="D219" s="11" t="s">
        <v>117</v>
      </c>
      <c r="E219" s="6" t="s">
        <v>16</v>
      </c>
      <c r="F219" s="17">
        <f>25.3*0.8</f>
        <v>20.240000000000002</v>
      </c>
      <c r="G219" s="14"/>
      <c r="H219" s="14"/>
      <c r="K219" s="20"/>
    </row>
    <row r="220" spans="1:11">
      <c r="A220" s="52" t="s">
        <v>118</v>
      </c>
      <c r="B220" s="53" t="s">
        <v>785</v>
      </c>
      <c r="C220" s="6" t="s">
        <v>119</v>
      </c>
      <c r="D220" s="11" t="s">
        <v>120</v>
      </c>
      <c r="E220" s="6" t="s">
        <v>17</v>
      </c>
      <c r="F220" s="17">
        <f>20.24*0.015</f>
        <v>0.30359999999999998</v>
      </c>
      <c r="G220" s="14"/>
      <c r="H220" s="14"/>
      <c r="K220" s="20"/>
    </row>
    <row r="221" spans="1:11">
      <c r="A221" s="52" t="s">
        <v>121</v>
      </c>
      <c r="B221" s="53" t="s">
        <v>785</v>
      </c>
      <c r="C221" s="6" t="s">
        <v>122</v>
      </c>
      <c r="D221" s="11" t="s">
        <v>123</v>
      </c>
      <c r="E221" s="6" t="s">
        <v>16</v>
      </c>
      <c r="F221" s="17">
        <f>0.5*0.5*8</f>
        <v>2</v>
      </c>
      <c r="G221" s="14"/>
      <c r="H221" s="14"/>
      <c r="K221" s="20"/>
    </row>
    <row r="222" spans="1:11">
      <c r="A222" s="52"/>
      <c r="B222" s="6"/>
      <c r="C222" s="72"/>
      <c r="D222" s="71" t="s">
        <v>124</v>
      </c>
      <c r="E222" s="6"/>
      <c r="F222" s="17"/>
      <c r="G222" s="14"/>
      <c r="H222" s="19"/>
      <c r="K222" s="20"/>
    </row>
    <row r="223" spans="1:11">
      <c r="A223" s="38">
        <v>3</v>
      </c>
      <c r="B223" s="7"/>
      <c r="C223" s="7"/>
      <c r="D223" s="10" t="s">
        <v>125</v>
      </c>
      <c r="E223" s="12"/>
      <c r="F223" s="12"/>
      <c r="G223" s="16"/>
      <c r="H223" s="15"/>
      <c r="K223" s="20"/>
    </row>
    <row r="224" spans="1:11" ht="29.25">
      <c r="A224" s="52" t="s">
        <v>10</v>
      </c>
      <c r="B224" s="53" t="s">
        <v>785</v>
      </c>
      <c r="C224" s="6" t="s">
        <v>90</v>
      </c>
      <c r="D224" s="22" t="s">
        <v>126</v>
      </c>
      <c r="E224" s="6" t="s">
        <v>17</v>
      </c>
      <c r="F224" s="17">
        <f>(0.15*0.25*6*6)+(0.15*0.35*6*4)</f>
        <v>2.61</v>
      </c>
      <c r="G224" s="14"/>
      <c r="H224" s="14"/>
      <c r="K224" s="20"/>
    </row>
    <row r="225" spans="1:11">
      <c r="A225" s="52" t="s">
        <v>127</v>
      </c>
      <c r="B225" s="53" t="s">
        <v>785</v>
      </c>
      <c r="C225" s="6" t="s">
        <v>96</v>
      </c>
      <c r="D225" s="21" t="s">
        <v>128</v>
      </c>
      <c r="E225" s="6" t="s">
        <v>98</v>
      </c>
      <c r="F225" s="17">
        <f>2.61*80*0.8</f>
        <v>167.04</v>
      </c>
      <c r="G225" s="14"/>
      <c r="H225" s="14"/>
      <c r="K225" s="20"/>
    </row>
    <row r="226" spans="1:11">
      <c r="A226" s="52" t="s">
        <v>129</v>
      </c>
      <c r="B226" s="53" t="s">
        <v>785</v>
      </c>
      <c r="C226" s="6" t="s">
        <v>100</v>
      </c>
      <c r="D226" s="21" t="s">
        <v>130</v>
      </c>
      <c r="E226" s="6" t="s">
        <v>98</v>
      </c>
      <c r="F226" s="17">
        <f>F224*80*0.2</f>
        <v>41.76</v>
      </c>
      <c r="G226" s="14"/>
      <c r="H226" s="14"/>
      <c r="K226" s="20"/>
    </row>
    <row r="227" spans="1:11">
      <c r="A227" s="52" t="s">
        <v>131</v>
      </c>
      <c r="B227" s="53" t="s">
        <v>785</v>
      </c>
      <c r="C227" s="6" t="s">
        <v>140</v>
      </c>
      <c r="D227" s="11" t="s">
        <v>753</v>
      </c>
      <c r="E227" s="6" t="s">
        <v>17</v>
      </c>
      <c r="F227" s="17">
        <f>F224</f>
        <v>2.61</v>
      </c>
      <c r="G227" s="14"/>
      <c r="H227" s="14"/>
      <c r="K227" s="20"/>
    </row>
    <row r="228" spans="1:11" ht="29.25">
      <c r="A228" s="52" t="s">
        <v>133</v>
      </c>
      <c r="B228" s="53" t="s">
        <v>785</v>
      </c>
      <c r="C228" s="6" t="s">
        <v>90</v>
      </c>
      <c r="D228" s="22" t="s">
        <v>134</v>
      </c>
      <c r="E228" s="6" t="s">
        <v>17</v>
      </c>
      <c r="F228" s="17">
        <f>(0.15*0.25*10.56)+(0.15*0.24*22.96)+(4.5*1.2*0.15)</f>
        <v>2.0325600000000001</v>
      </c>
      <c r="G228" s="14"/>
      <c r="H228" s="14"/>
      <c r="K228" s="20"/>
    </row>
    <row r="229" spans="1:11">
      <c r="A229" s="52" t="s">
        <v>135</v>
      </c>
      <c r="B229" s="53" t="s">
        <v>785</v>
      </c>
      <c r="C229" s="6" t="s">
        <v>96</v>
      </c>
      <c r="D229" s="21" t="s">
        <v>136</v>
      </c>
      <c r="E229" s="6" t="s">
        <v>98</v>
      </c>
      <c r="F229" s="17">
        <f>2.03*80*0.8</f>
        <v>129.91999999999999</v>
      </c>
      <c r="G229" s="14"/>
      <c r="H229" s="14"/>
      <c r="K229" s="20"/>
    </row>
    <row r="230" spans="1:11">
      <c r="A230" s="52" t="s">
        <v>137</v>
      </c>
      <c r="B230" s="53" t="s">
        <v>785</v>
      </c>
      <c r="C230" s="6" t="s">
        <v>100</v>
      </c>
      <c r="D230" s="21" t="s">
        <v>138</v>
      </c>
      <c r="E230" s="6" t="s">
        <v>98</v>
      </c>
      <c r="F230" s="17">
        <f>2.03*80*0.2</f>
        <v>32.479999999999997</v>
      </c>
      <c r="G230" s="14"/>
      <c r="H230" s="14"/>
      <c r="K230" s="20"/>
    </row>
    <row r="231" spans="1:11">
      <c r="A231" s="52" t="s">
        <v>139</v>
      </c>
      <c r="B231" s="53" t="s">
        <v>785</v>
      </c>
      <c r="C231" s="6" t="s">
        <v>140</v>
      </c>
      <c r="D231" s="11" t="s">
        <v>141</v>
      </c>
      <c r="E231" s="6" t="s">
        <v>17</v>
      </c>
      <c r="F231" s="17">
        <v>5.22</v>
      </c>
      <c r="G231" s="14"/>
      <c r="H231" s="14"/>
      <c r="K231" s="20"/>
    </row>
    <row r="232" spans="1:11">
      <c r="A232" s="52" t="s">
        <v>142</v>
      </c>
      <c r="B232" s="53" t="s">
        <v>785</v>
      </c>
      <c r="C232" s="6" t="s">
        <v>143</v>
      </c>
      <c r="D232" s="11" t="s">
        <v>144</v>
      </c>
      <c r="E232" s="6" t="s">
        <v>17</v>
      </c>
      <c r="F232" s="17">
        <f>(21*0.15*0.2)</f>
        <v>0.63</v>
      </c>
      <c r="G232" s="14"/>
      <c r="H232" s="14"/>
      <c r="K232" s="20"/>
    </row>
    <row r="233" spans="1:11" ht="29.25">
      <c r="A233" s="52" t="s">
        <v>145</v>
      </c>
      <c r="B233" s="53" t="s">
        <v>785</v>
      </c>
      <c r="C233" s="6" t="s">
        <v>774</v>
      </c>
      <c r="D233" s="73" t="s">
        <v>773</v>
      </c>
      <c r="E233" s="6" t="s">
        <v>16</v>
      </c>
      <c r="F233" s="17">
        <v>23</v>
      </c>
      <c r="G233" s="14"/>
      <c r="H233" s="14"/>
      <c r="K233" s="20"/>
    </row>
    <row r="234" spans="1:11" ht="15.75" customHeight="1">
      <c r="A234" s="52" t="s">
        <v>146</v>
      </c>
      <c r="B234" s="53" t="s">
        <v>785</v>
      </c>
      <c r="C234" s="6" t="s">
        <v>116</v>
      </c>
      <c r="D234" s="73" t="s">
        <v>853</v>
      </c>
      <c r="E234" s="6" t="s">
        <v>16</v>
      </c>
      <c r="F234" s="17">
        <v>13.94</v>
      </c>
      <c r="G234" s="14"/>
      <c r="H234" s="14"/>
      <c r="K234" s="20"/>
    </row>
    <row r="235" spans="1:11">
      <c r="A235" s="52" t="s">
        <v>147</v>
      </c>
      <c r="B235" s="53" t="s">
        <v>785</v>
      </c>
      <c r="C235" s="6" t="s">
        <v>148</v>
      </c>
      <c r="D235" s="11" t="s">
        <v>149</v>
      </c>
      <c r="E235" s="6" t="s">
        <v>17</v>
      </c>
      <c r="F235" s="17">
        <f>11.63*0.05</f>
        <v>0.58150000000000002</v>
      </c>
      <c r="G235" s="14"/>
      <c r="H235" s="14"/>
      <c r="K235" s="20"/>
    </row>
    <row r="236" spans="1:11">
      <c r="A236" s="52" t="s">
        <v>150</v>
      </c>
      <c r="B236" s="53" t="s">
        <v>785</v>
      </c>
      <c r="C236" s="6" t="s">
        <v>102</v>
      </c>
      <c r="D236" s="11" t="s">
        <v>151</v>
      </c>
      <c r="E236" s="6" t="s">
        <v>16</v>
      </c>
      <c r="F236" s="17">
        <f>(0.25*2*33.52)+(1.2*4.1)</f>
        <v>21.68</v>
      </c>
      <c r="G236" s="14"/>
      <c r="H236" s="14"/>
      <c r="K236" s="20"/>
    </row>
    <row r="237" spans="1:11">
      <c r="A237" s="52" t="s">
        <v>152</v>
      </c>
      <c r="B237" s="53" t="s">
        <v>785</v>
      </c>
      <c r="C237" s="6" t="s">
        <v>153</v>
      </c>
      <c r="D237" s="11" t="s">
        <v>154</v>
      </c>
      <c r="E237" s="6" t="s">
        <v>17</v>
      </c>
      <c r="F237" s="17">
        <f>0.1*0.1*6*30</f>
        <v>1.8000000000000003</v>
      </c>
      <c r="G237" s="14"/>
      <c r="H237" s="14"/>
      <c r="K237" s="20"/>
    </row>
    <row r="238" spans="1:11">
      <c r="A238" s="52"/>
      <c r="B238" s="6"/>
      <c r="C238" s="6"/>
      <c r="D238" s="23" t="s">
        <v>22</v>
      </c>
      <c r="E238" s="6"/>
      <c r="F238" s="17"/>
      <c r="G238" s="14"/>
      <c r="H238" s="19"/>
      <c r="K238" s="20"/>
    </row>
    <row r="239" spans="1:11">
      <c r="A239" s="38">
        <v>4</v>
      </c>
      <c r="B239" s="7"/>
      <c r="C239" s="7"/>
      <c r="D239" s="10" t="s">
        <v>155</v>
      </c>
      <c r="E239" s="12"/>
      <c r="F239" s="12"/>
      <c r="G239" s="16"/>
      <c r="H239" s="15"/>
      <c r="K239" s="20"/>
    </row>
    <row r="240" spans="1:11">
      <c r="A240" s="52" t="s">
        <v>11</v>
      </c>
      <c r="B240" s="53" t="s">
        <v>785</v>
      </c>
      <c r="C240" s="6" t="s">
        <v>156</v>
      </c>
      <c r="D240" s="21" t="s">
        <v>157</v>
      </c>
      <c r="E240" s="6" t="s">
        <v>17</v>
      </c>
      <c r="F240" s="17">
        <f>(25.3*0.2*0.2)*1.3</f>
        <v>1.3156000000000003</v>
      </c>
      <c r="G240" s="14"/>
      <c r="H240" s="14"/>
      <c r="K240" s="20"/>
    </row>
    <row r="241" spans="1:11">
      <c r="A241" s="52" t="s">
        <v>12</v>
      </c>
      <c r="B241" s="53" t="s">
        <v>785</v>
      </c>
      <c r="C241" s="6" t="s">
        <v>158</v>
      </c>
      <c r="D241" s="21" t="s">
        <v>159</v>
      </c>
      <c r="E241" s="6" t="s">
        <v>16</v>
      </c>
      <c r="F241" s="17">
        <f>(25.3*2.6)+(10.56*2.6)+(4.1*2)-11</f>
        <v>90.436000000000007</v>
      </c>
      <c r="G241" s="14"/>
      <c r="H241" s="14"/>
      <c r="K241" s="20"/>
    </row>
    <row r="242" spans="1:11">
      <c r="A242" s="52" t="s">
        <v>160</v>
      </c>
      <c r="B242" s="53" t="s">
        <v>785</v>
      </c>
      <c r="C242" s="6" t="s">
        <v>119</v>
      </c>
      <c r="D242" s="11" t="s">
        <v>120</v>
      </c>
      <c r="E242" s="6" t="s">
        <v>17</v>
      </c>
      <c r="F242" s="17">
        <f>(25.3*0.6*0.02)</f>
        <v>0.30359999999999998</v>
      </c>
      <c r="G242" s="14"/>
      <c r="H242" s="14"/>
      <c r="K242" s="20"/>
    </row>
    <row r="243" spans="1:11" ht="29.25">
      <c r="A243" s="52" t="s">
        <v>32</v>
      </c>
      <c r="B243" s="53" t="s">
        <v>785</v>
      </c>
      <c r="C243" s="6" t="s">
        <v>161</v>
      </c>
      <c r="D243" s="73" t="s">
        <v>162</v>
      </c>
      <c r="E243" s="6" t="s">
        <v>16</v>
      </c>
      <c r="F243" s="17">
        <f>(25.3*0.4)</f>
        <v>10.120000000000001</v>
      </c>
      <c r="G243" s="14"/>
      <c r="H243" s="14"/>
      <c r="K243" s="20"/>
    </row>
    <row r="244" spans="1:11">
      <c r="A244" s="52"/>
      <c r="B244" s="6"/>
      <c r="C244" s="6"/>
      <c r="D244" s="74" t="s">
        <v>163</v>
      </c>
      <c r="E244" s="6"/>
      <c r="F244" s="17"/>
      <c r="G244" s="14"/>
      <c r="H244" s="19"/>
      <c r="K244" s="20"/>
    </row>
    <row r="245" spans="1:11">
      <c r="A245" s="38">
        <v>5</v>
      </c>
      <c r="B245" s="7"/>
      <c r="C245" s="12"/>
      <c r="D245" s="10" t="s">
        <v>164</v>
      </c>
      <c r="E245" s="12"/>
      <c r="F245" s="12"/>
      <c r="G245" s="16"/>
      <c r="H245" s="15"/>
      <c r="K245" s="20"/>
    </row>
    <row r="246" spans="1:11">
      <c r="A246" s="52" t="s">
        <v>13</v>
      </c>
      <c r="B246" s="32" t="s">
        <v>74</v>
      </c>
      <c r="C246" s="6" t="s">
        <v>66</v>
      </c>
      <c r="D246" s="21" t="s">
        <v>65</v>
      </c>
      <c r="E246" s="6" t="s">
        <v>16</v>
      </c>
      <c r="F246" s="17">
        <f>27.35*1.077</f>
        <v>29.455950000000001</v>
      </c>
      <c r="G246" s="14"/>
      <c r="H246" s="14"/>
      <c r="K246" s="20"/>
    </row>
    <row r="247" spans="1:11">
      <c r="A247" s="52" t="s">
        <v>14</v>
      </c>
      <c r="B247" s="32" t="s">
        <v>74</v>
      </c>
      <c r="C247" s="6" t="s">
        <v>165</v>
      </c>
      <c r="D247" s="21" t="s">
        <v>166</v>
      </c>
      <c r="E247" s="6" t="s">
        <v>16</v>
      </c>
      <c r="F247" s="17">
        <f>27.35*1.077</f>
        <v>29.455950000000001</v>
      </c>
      <c r="G247" s="14"/>
      <c r="H247" s="14"/>
      <c r="K247" s="20"/>
    </row>
    <row r="248" spans="1:11">
      <c r="A248" s="52" t="s">
        <v>15</v>
      </c>
      <c r="B248" s="32" t="s">
        <v>74</v>
      </c>
      <c r="C248" s="6" t="s">
        <v>167</v>
      </c>
      <c r="D248" s="21" t="s">
        <v>168</v>
      </c>
      <c r="E248" s="6" t="s">
        <v>18</v>
      </c>
      <c r="F248" s="17">
        <f>7.4*2*1.077</f>
        <v>15.9396</v>
      </c>
      <c r="G248" s="14"/>
      <c r="H248" s="14"/>
      <c r="K248" s="20"/>
    </row>
    <row r="249" spans="1:11">
      <c r="A249" s="52"/>
      <c r="B249" s="6"/>
      <c r="C249" s="6"/>
      <c r="D249" s="23" t="s">
        <v>169</v>
      </c>
      <c r="E249" s="6"/>
      <c r="F249" s="17"/>
      <c r="G249" s="14"/>
      <c r="H249" s="19"/>
      <c r="K249" s="20"/>
    </row>
    <row r="250" spans="1:11">
      <c r="A250" s="38">
        <v>6</v>
      </c>
      <c r="B250" s="7"/>
      <c r="C250" s="12"/>
      <c r="D250" s="10" t="s">
        <v>170</v>
      </c>
      <c r="E250" s="12"/>
      <c r="F250" s="12"/>
      <c r="G250" s="16"/>
      <c r="H250" s="15"/>
      <c r="K250" s="20"/>
    </row>
    <row r="251" spans="1:11">
      <c r="A251" s="52" t="s">
        <v>33</v>
      </c>
      <c r="B251" s="53" t="s">
        <v>785</v>
      </c>
      <c r="C251" s="6" t="s">
        <v>171</v>
      </c>
      <c r="D251" s="73" t="s">
        <v>172</v>
      </c>
      <c r="E251" s="6" t="s">
        <v>16</v>
      </c>
      <c r="F251" s="17">
        <f>F246</f>
        <v>29.455950000000001</v>
      </c>
      <c r="G251" s="14"/>
      <c r="H251" s="14"/>
      <c r="K251" s="20"/>
    </row>
    <row r="252" spans="1:11" ht="29.25">
      <c r="A252" s="52" t="s">
        <v>34</v>
      </c>
      <c r="B252" s="53" t="s">
        <v>785</v>
      </c>
      <c r="C252" s="6" t="s">
        <v>173</v>
      </c>
      <c r="D252" s="73" t="s">
        <v>174</v>
      </c>
      <c r="E252" s="6" t="s">
        <v>16</v>
      </c>
      <c r="F252" s="17">
        <f>F251</f>
        <v>29.455950000000001</v>
      </c>
      <c r="G252" s="14"/>
      <c r="H252" s="14"/>
      <c r="K252" s="20"/>
    </row>
    <row r="253" spans="1:11">
      <c r="A253" s="52"/>
      <c r="B253" s="6"/>
      <c r="C253" s="6"/>
      <c r="D253" s="71" t="s">
        <v>175</v>
      </c>
      <c r="E253" s="6"/>
      <c r="F253" s="17"/>
      <c r="G253" s="14"/>
      <c r="H253" s="19"/>
      <c r="K253" s="20"/>
    </row>
    <row r="254" spans="1:11">
      <c r="A254" s="38">
        <v>7</v>
      </c>
      <c r="B254" s="12"/>
      <c r="C254" s="12"/>
      <c r="D254" s="10" t="s">
        <v>176</v>
      </c>
      <c r="E254" s="12"/>
      <c r="F254" s="12"/>
      <c r="G254" s="16"/>
      <c r="H254" s="15"/>
      <c r="K254" s="20"/>
    </row>
    <row r="255" spans="1:11">
      <c r="A255" s="52" t="s">
        <v>177</v>
      </c>
      <c r="B255" s="53" t="s">
        <v>785</v>
      </c>
      <c r="C255" s="6" t="s">
        <v>178</v>
      </c>
      <c r="D255" s="11" t="s">
        <v>179</v>
      </c>
      <c r="E255" s="6" t="s">
        <v>16</v>
      </c>
      <c r="F255" s="17">
        <v>196.77</v>
      </c>
      <c r="G255" s="14"/>
      <c r="H255" s="14"/>
      <c r="K255" s="20"/>
    </row>
    <row r="256" spans="1:11">
      <c r="A256" s="52" t="s">
        <v>180</v>
      </c>
      <c r="B256" s="53" t="s">
        <v>785</v>
      </c>
      <c r="C256" s="6" t="s">
        <v>181</v>
      </c>
      <c r="D256" s="21" t="s">
        <v>182</v>
      </c>
      <c r="E256" s="6" t="s">
        <v>16</v>
      </c>
      <c r="F256" s="17">
        <f>F255</f>
        <v>196.77</v>
      </c>
      <c r="G256" s="14"/>
      <c r="H256" s="14"/>
      <c r="K256" s="20"/>
    </row>
    <row r="257" spans="1:11" ht="29.25">
      <c r="A257" s="52" t="s">
        <v>183</v>
      </c>
      <c r="B257" s="53" t="s">
        <v>785</v>
      </c>
      <c r="C257" s="6" t="s">
        <v>184</v>
      </c>
      <c r="D257" s="73" t="s">
        <v>185</v>
      </c>
      <c r="E257" s="6" t="s">
        <v>16</v>
      </c>
      <c r="F257" s="17">
        <f>(9.46*2)+(5.28*2)+(5.28*0.9)</f>
        <v>34.232000000000006</v>
      </c>
      <c r="G257" s="14"/>
      <c r="H257" s="14"/>
      <c r="K257" s="20"/>
    </row>
    <row r="258" spans="1:11">
      <c r="A258" s="52" t="s">
        <v>186</v>
      </c>
      <c r="B258" s="53" t="s">
        <v>785</v>
      </c>
      <c r="C258" s="6" t="s">
        <v>187</v>
      </c>
      <c r="D258" s="75" t="s">
        <v>188</v>
      </c>
      <c r="E258" s="6" t="s">
        <v>16</v>
      </c>
      <c r="F258" s="17">
        <f>(17.96*0.9)-(0.8*0.9*2)</f>
        <v>14.724000000000002</v>
      </c>
      <c r="G258" s="14"/>
      <c r="H258" s="14"/>
      <c r="K258" s="20"/>
    </row>
    <row r="259" spans="1:11" ht="29.25">
      <c r="A259" s="52" t="s">
        <v>189</v>
      </c>
      <c r="B259" s="53" t="s">
        <v>785</v>
      </c>
      <c r="C259" s="6" t="s">
        <v>190</v>
      </c>
      <c r="D259" s="75" t="s">
        <v>792</v>
      </c>
      <c r="E259" s="6" t="s">
        <v>16</v>
      </c>
      <c r="F259" s="17">
        <f>F258</f>
        <v>14.724000000000002</v>
      </c>
      <c r="G259" s="14"/>
      <c r="H259" s="14"/>
      <c r="K259" s="20"/>
    </row>
    <row r="260" spans="1:11">
      <c r="A260" s="52"/>
      <c r="B260" s="6"/>
      <c r="C260" s="6"/>
      <c r="D260" s="71" t="s">
        <v>818</v>
      </c>
      <c r="E260" s="6"/>
      <c r="F260" s="17"/>
      <c r="G260" s="14"/>
      <c r="H260" s="19"/>
      <c r="K260" s="20"/>
    </row>
    <row r="261" spans="1:11">
      <c r="A261" s="38">
        <v>8</v>
      </c>
      <c r="B261" s="12"/>
      <c r="C261" s="12"/>
      <c r="D261" s="10" t="s">
        <v>193</v>
      </c>
      <c r="E261" s="12"/>
      <c r="F261" s="18"/>
      <c r="G261" s="16"/>
      <c r="H261" s="15"/>
      <c r="K261" s="20"/>
    </row>
    <row r="262" spans="1:11" ht="43.5">
      <c r="A262" s="52" t="s">
        <v>194</v>
      </c>
      <c r="B262" s="53" t="s">
        <v>785</v>
      </c>
      <c r="C262" s="6" t="s">
        <v>195</v>
      </c>
      <c r="D262" s="73" t="s">
        <v>196</v>
      </c>
      <c r="E262" s="6" t="s">
        <v>16</v>
      </c>
      <c r="F262" s="17">
        <f>(2.64*2.64)+(2.64*2.64)+(4.22)+(7.96)+(10.99)+(17.42*0.07)*1.1</f>
        <v>38.450540000000004</v>
      </c>
      <c r="G262" s="14"/>
      <c r="H262" s="14"/>
      <c r="K262" s="20"/>
    </row>
    <row r="263" spans="1:11" ht="29.25">
      <c r="A263" s="52" t="s">
        <v>197</v>
      </c>
      <c r="B263" s="53" t="s">
        <v>785</v>
      </c>
      <c r="C263" s="6" t="s">
        <v>198</v>
      </c>
      <c r="D263" s="73" t="s">
        <v>191</v>
      </c>
      <c r="E263" s="6" t="s">
        <v>16</v>
      </c>
      <c r="F263" s="17">
        <f>F262</f>
        <v>38.450540000000004</v>
      </c>
      <c r="G263" s="14"/>
      <c r="H263" s="14"/>
      <c r="K263" s="20"/>
    </row>
    <row r="264" spans="1:11">
      <c r="A264" s="52"/>
      <c r="B264" s="6"/>
      <c r="C264" s="6"/>
      <c r="D264" s="23" t="s">
        <v>30</v>
      </c>
      <c r="E264" s="6"/>
      <c r="F264" s="17"/>
      <c r="G264" s="14"/>
      <c r="H264" s="19"/>
      <c r="K264" s="20"/>
    </row>
    <row r="265" spans="1:11">
      <c r="A265" s="38">
        <v>9</v>
      </c>
      <c r="B265" s="12"/>
      <c r="C265" s="12"/>
      <c r="D265" s="10" t="s">
        <v>199</v>
      </c>
      <c r="E265" s="12"/>
      <c r="F265" s="12"/>
      <c r="G265" s="16"/>
      <c r="H265" s="15"/>
      <c r="K265" s="20"/>
    </row>
    <row r="266" spans="1:11" ht="29.25">
      <c r="A266" s="52" t="s">
        <v>378</v>
      </c>
      <c r="B266" s="53" t="s">
        <v>785</v>
      </c>
      <c r="C266" s="6" t="s">
        <v>201</v>
      </c>
      <c r="D266" s="73" t="s">
        <v>202</v>
      </c>
      <c r="E266" s="6" t="s">
        <v>16</v>
      </c>
      <c r="F266" s="17">
        <v>22.83</v>
      </c>
      <c r="G266" s="14"/>
      <c r="H266" s="14"/>
      <c r="K266" s="20"/>
    </row>
    <row r="267" spans="1:11">
      <c r="A267" s="52"/>
      <c r="B267" s="6"/>
      <c r="C267" s="6"/>
      <c r="D267" s="71" t="s">
        <v>31</v>
      </c>
      <c r="E267" s="6"/>
      <c r="F267" s="17"/>
      <c r="G267" s="14"/>
      <c r="H267" s="19"/>
      <c r="K267" s="20"/>
    </row>
    <row r="268" spans="1:11">
      <c r="A268" s="38">
        <v>10</v>
      </c>
      <c r="B268" s="12"/>
      <c r="C268" s="12"/>
      <c r="D268" s="10" t="s">
        <v>203</v>
      </c>
      <c r="E268" s="12"/>
      <c r="F268" s="12"/>
      <c r="G268" s="16"/>
      <c r="H268" s="15"/>
      <c r="K268" s="20"/>
    </row>
    <row r="269" spans="1:11">
      <c r="A269" s="52" t="s">
        <v>204</v>
      </c>
      <c r="B269" s="53" t="s">
        <v>785</v>
      </c>
      <c r="C269" s="6" t="s">
        <v>205</v>
      </c>
      <c r="D269" s="73" t="s">
        <v>206</v>
      </c>
      <c r="E269" s="6" t="s">
        <v>16</v>
      </c>
      <c r="F269" s="17">
        <f>(0.8*2.1)*2</f>
        <v>3.3600000000000003</v>
      </c>
      <c r="G269" s="14"/>
      <c r="H269" s="14"/>
      <c r="K269" s="20"/>
    </row>
    <row r="270" spans="1:11">
      <c r="A270" s="52" t="s">
        <v>207</v>
      </c>
      <c r="B270" s="53" t="s">
        <v>785</v>
      </c>
      <c r="C270" s="6" t="s">
        <v>810</v>
      </c>
      <c r="D270" s="73" t="s">
        <v>809</v>
      </c>
      <c r="E270" s="6" t="s">
        <v>16</v>
      </c>
      <c r="F270" s="17">
        <f>0.9*2.1</f>
        <v>1.8900000000000001</v>
      </c>
      <c r="G270" s="14"/>
      <c r="H270" s="14"/>
      <c r="K270" s="20"/>
    </row>
    <row r="271" spans="1:11">
      <c r="A271" s="52" t="s">
        <v>208</v>
      </c>
      <c r="B271" s="53" t="s">
        <v>785</v>
      </c>
      <c r="C271" s="6" t="s">
        <v>757</v>
      </c>
      <c r="D271" s="73" t="s">
        <v>756</v>
      </c>
      <c r="E271" s="6" t="s">
        <v>16</v>
      </c>
      <c r="F271" s="17">
        <f>(2.5*2.2*2)+(2.5*1.4*2)</f>
        <v>18</v>
      </c>
      <c r="G271" s="14"/>
      <c r="H271" s="14"/>
      <c r="K271" s="20"/>
    </row>
    <row r="272" spans="1:11">
      <c r="A272" s="52" t="s">
        <v>383</v>
      </c>
      <c r="B272" s="53" t="s">
        <v>785</v>
      </c>
      <c r="C272" s="6" t="s">
        <v>209</v>
      </c>
      <c r="D272" s="73" t="s">
        <v>210</v>
      </c>
      <c r="E272" s="6" t="s">
        <v>16</v>
      </c>
      <c r="F272" s="17">
        <f>0.6*1</f>
        <v>0.6</v>
      </c>
      <c r="G272" s="14"/>
      <c r="H272" s="14"/>
      <c r="K272" s="20"/>
    </row>
    <row r="273" spans="1:11">
      <c r="A273" s="52" t="s">
        <v>386</v>
      </c>
      <c r="B273" s="53" t="s">
        <v>785</v>
      </c>
      <c r="C273" s="6" t="s">
        <v>755</v>
      </c>
      <c r="D273" s="73" t="s">
        <v>754</v>
      </c>
      <c r="E273" s="6" t="s">
        <v>16</v>
      </c>
      <c r="F273" s="17">
        <v>18</v>
      </c>
      <c r="G273" s="14"/>
      <c r="H273" s="14"/>
      <c r="K273" s="20"/>
    </row>
    <row r="274" spans="1:11">
      <c r="A274" s="52"/>
      <c r="B274" s="6"/>
      <c r="C274" s="77"/>
      <c r="D274" s="71" t="s">
        <v>211</v>
      </c>
      <c r="E274" s="6"/>
      <c r="F274" s="17"/>
      <c r="G274" s="14"/>
      <c r="H274" s="19"/>
      <c r="K274" s="20"/>
    </row>
    <row r="275" spans="1:11">
      <c r="A275" s="38">
        <v>11</v>
      </c>
      <c r="B275" s="12"/>
      <c r="C275" s="12"/>
      <c r="D275" s="7" t="s">
        <v>43</v>
      </c>
      <c r="E275" s="12"/>
      <c r="F275" s="12"/>
      <c r="G275" s="16"/>
      <c r="H275" s="15"/>
      <c r="K275" s="20"/>
    </row>
    <row r="276" spans="1:11">
      <c r="A276" s="52" t="s">
        <v>212</v>
      </c>
      <c r="B276" s="53" t="s">
        <v>785</v>
      </c>
      <c r="C276" s="77" t="s">
        <v>762</v>
      </c>
      <c r="D276" s="76" t="s">
        <v>761</v>
      </c>
      <c r="E276" s="6" t="s">
        <v>16</v>
      </c>
      <c r="F276" s="17">
        <f>F255-F257-F258+15.74+7.82</f>
        <v>171.37400000000002</v>
      </c>
      <c r="G276" s="14"/>
      <c r="H276" s="14"/>
      <c r="K276" s="20"/>
    </row>
    <row r="277" spans="1:11">
      <c r="A277" s="52" t="s">
        <v>213</v>
      </c>
      <c r="B277" s="53" t="s">
        <v>785</v>
      </c>
      <c r="C277" s="77" t="s">
        <v>760</v>
      </c>
      <c r="D277" s="76" t="s">
        <v>759</v>
      </c>
      <c r="E277" s="6" t="s">
        <v>16</v>
      </c>
      <c r="F277" s="17">
        <f>F276</f>
        <v>171.37400000000002</v>
      </c>
      <c r="G277" s="14"/>
      <c r="H277" s="14"/>
      <c r="K277" s="20"/>
    </row>
    <row r="278" spans="1:11">
      <c r="A278" s="52" t="s">
        <v>216</v>
      </c>
      <c r="B278" s="53" t="s">
        <v>785</v>
      </c>
      <c r="C278" s="77" t="s">
        <v>44</v>
      </c>
      <c r="D278" s="78" t="s">
        <v>217</v>
      </c>
      <c r="E278" s="6" t="s">
        <v>16</v>
      </c>
      <c r="F278" s="17">
        <f>F251+3.35</f>
        <v>32.805950000000003</v>
      </c>
      <c r="G278" s="14"/>
      <c r="H278" s="14"/>
      <c r="K278" s="20"/>
    </row>
    <row r="279" spans="1:11">
      <c r="A279" s="52"/>
      <c r="B279" s="6"/>
      <c r="C279" s="6"/>
      <c r="D279" s="74" t="s">
        <v>218</v>
      </c>
      <c r="E279" s="6"/>
      <c r="F279" s="17"/>
      <c r="G279" s="14"/>
      <c r="H279" s="19"/>
      <c r="K279" s="20"/>
    </row>
    <row r="280" spans="1:11">
      <c r="A280" s="38">
        <v>12</v>
      </c>
      <c r="B280" s="12"/>
      <c r="C280" s="12"/>
      <c r="D280" s="7" t="s">
        <v>219</v>
      </c>
      <c r="E280" s="12"/>
      <c r="F280" s="12"/>
      <c r="G280" s="16"/>
      <c r="H280" s="15"/>
      <c r="K280" s="20"/>
    </row>
    <row r="281" spans="1:11">
      <c r="A281" s="52" t="s">
        <v>220</v>
      </c>
      <c r="B281" s="53" t="s">
        <v>785</v>
      </c>
      <c r="C281" s="6" t="s">
        <v>221</v>
      </c>
      <c r="D281" s="76" t="s">
        <v>222</v>
      </c>
      <c r="E281" s="6" t="s">
        <v>37</v>
      </c>
      <c r="F281" s="17">
        <v>1</v>
      </c>
      <c r="G281" s="14"/>
      <c r="H281" s="14"/>
      <c r="K281" s="20"/>
    </row>
    <row r="282" spans="1:11">
      <c r="A282" s="52" t="s">
        <v>223</v>
      </c>
      <c r="B282" s="53" t="s">
        <v>785</v>
      </c>
      <c r="C282" s="6" t="s">
        <v>224</v>
      </c>
      <c r="D282" s="76" t="s">
        <v>225</v>
      </c>
      <c r="E282" s="6" t="s">
        <v>37</v>
      </c>
      <c r="F282" s="17">
        <v>2</v>
      </c>
      <c r="G282" s="14"/>
      <c r="H282" s="14"/>
      <c r="K282" s="20"/>
    </row>
    <row r="283" spans="1:11">
      <c r="A283" s="52" t="s">
        <v>226</v>
      </c>
      <c r="B283" s="53" t="s">
        <v>785</v>
      </c>
      <c r="C283" s="6" t="s">
        <v>227</v>
      </c>
      <c r="D283" s="76" t="s">
        <v>228</v>
      </c>
      <c r="E283" s="6" t="s">
        <v>16</v>
      </c>
      <c r="F283" s="17">
        <f>(1*0.8)</f>
        <v>0.8</v>
      </c>
      <c r="G283" s="14"/>
      <c r="H283" s="14"/>
      <c r="K283" s="20"/>
    </row>
    <row r="284" spans="1:11">
      <c r="A284" s="52" t="s">
        <v>229</v>
      </c>
      <c r="B284" s="53" t="s">
        <v>785</v>
      </c>
      <c r="C284" s="6" t="s">
        <v>230</v>
      </c>
      <c r="D284" s="76" t="s">
        <v>231</v>
      </c>
      <c r="E284" s="6" t="s">
        <v>37</v>
      </c>
      <c r="F284" s="17">
        <v>1</v>
      </c>
      <c r="G284" s="14"/>
      <c r="H284" s="14"/>
      <c r="K284" s="20"/>
    </row>
    <row r="285" spans="1:11">
      <c r="A285" s="52" t="s">
        <v>232</v>
      </c>
      <c r="B285" s="53" t="s">
        <v>785</v>
      </c>
      <c r="C285" s="6" t="s">
        <v>233</v>
      </c>
      <c r="D285" s="76" t="s">
        <v>234</v>
      </c>
      <c r="E285" s="6" t="s">
        <v>37</v>
      </c>
      <c r="F285" s="17">
        <v>1</v>
      </c>
      <c r="G285" s="14"/>
      <c r="H285" s="14"/>
      <c r="K285" s="20"/>
    </row>
    <row r="286" spans="1:11">
      <c r="A286" s="52" t="s">
        <v>235</v>
      </c>
      <c r="B286" s="53" t="s">
        <v>785</v>
      </c>
      <c r="C286" s="6" t="s">
        <v>236</v>
      </c>
      <c r="D286" s="76" t="s">
        <v>237</v>
      </c>
      <c r="E286" s="6" t="s">
        <v>37</v>
      </c>
      <c r="F286" s="17">
        <v>1</v>
      </c>
      <c r="G286" s="14"/>
      <c r="H286" s="14"/>
      <c r="K286" s="20"/>
    </row>
    <row r="287" spans="1:11">
      <c r="A287" s="52" t="s">
        <v>238</v>
      </c>
      <c r="B287" s="53" t="s">
        <v>785</v>
      </c>
      <c r="C287" s="6" t="s">
        <v>507</v>
      </c>
      <c r="D287" s="79" t="s">
        <v>239</v>
      </c>
      <c r="E287" s="6" t="s">
        <v>18</v>
      </c>
      <c r="F287" s="17">
        <f>(2.5+2.5)*2+(0.8+0.8)+1</f>
        <v>12.6</v>
      </c>
      <c r="G287" s="14"/>
      <c r="H287" s="14"/>
      <c r="K287" s="20"/>
    </row>
    <row r="288" spans="1:11">
      <c r="A288" s="52" t="s">
        <v>240</v>
      </c>
      <c r="B288" s="53" t="s">
        <v>785</v>
      </c>
      <c r="C288" s="77" t="s">
        <v>241</v>
      </c>
      <c r="D288" s="76" t="s">
        <v>242</v>
      </c>
      <c r="E288" s="6" t="s">
        <v>37</v>
      </c>
      <c r="F288" s="17">
        <v>1</v>
      </c>
      <c r="G288" s="14"/>
      <c r="H288" s="14"/>
      <c r="K288" s="20"/>
    </row>
    <row r="289" spans="1:11">
      <c r="A289" s="52" t="s">
        <v>243</v>
      </c>
      <c r="B289" s="53" t="s">
        <v>785</v>
      </c>
      <c r="C289" s="6" t="s">
        <v>244</v>
      </c>
      <c r="D289" s="1" t="s">
        <v>245</v>
      </c>
      <c r="E289" s="6" t="s">
        <v>16</v>
      </c>
      <c r="F289" s="17">
        <f>(1.7*0.6)+(1.17*0.55)</f>
        <v>1.6635</v>
      </c>
      <c r="G289" s="14"/>
      <c r="H289" s="14"/>
      <c r="K289" s="20"/>
    </row>
    <row r="290" spans="1:11" ht="29.25">
      <c r="A290" s="52" t="s">
        <v>246</v>
      </c>
      <c r="B290" s="53" t="s">
        <v>785</v>
      </c>
      <c r="C290" s="6" t="s">
        <v>247</v>
      </c>
      <c r="D290" s="78" t="s">
        <v>248</v>
      </c>
      <c r="E290" s="6" t="s">
        <v>37</v>
      </c>
      <c r="F290" s="17">
        <v>1</v>
      </c>
      <c r="G290" s="14"/>
      <c r="H290" s="14"/>
      <c r="K290" s="20"/>
    </row>
    <row r="291" spans="1:11" ht="29.25">
      <c r="A291" s="52" t="s">
        <v>249</v>
      </c>
      <c r="B291" s="53" t="s">
        <v>785</v>
      </c>
      <c r="C291" s="6" t="s">
        <v>250</v>
      </c>
      <c r="D291" s="78" t="s">
        <v>251</v>
      </c>
      <c r="E291" s="6" t="s">
        <v>37</v>
      </c>
      <c r="F291" s="17">
        <v>1</v>
      </c>
      <c r="G291" s="14"/>
      <c r="H291" s="14"/>
      <c r="K291" s="20"/>
    </row>
    <row r="292" spans="1:11">
      <c r="A292" s="52" t="s">
        <v>252</v>
      </c>
      <c r="B292" s="53" t="s">
        <v>785</v>
      </c>
      <c r="C292" s="6" t="s">
        <v>253</v>
      </c>
      <c r="D292" s="76" t="s">
        <v>254</v>
      </c>
      <c r="E292" s="6" t="s">
        <v>37</v>
      </c>
      <c r="F292" s="17">
        <v>1</v>
      </c>
      <c r="G292" s="14"/>
      <c r="H292" s="14"/>
      <c r="K292" s="20"/>
    </row>
    <row r="293" spans="1:11">
      <c r="A293" s="52" t="s">
        <v>255</v>
      </c>
      <c r="B293" s="53" t="s">
        <v>785</v>
      </c>
      <c r="C293" s="6" t="s">
        <v>256</v>
      </c>
      <c r="D293" s="76" t="s">
        <v>257</v>
      </c>
      <c r="E293" s="6" t="s">
        <v>37</v>
      </c>
      <c r="F293" s="17">
        <v>1</v>
      </c>
      <c r="G293" s="14"/>
      <c r="H293" s="14"/>
      <c r="K293" s="20"/>
    </row>
    <row r="294" spans="1:11">
      <c r="A294" s="52" t="s">
        <v>258</v>
      </c>
      <c r="B294" s="53" t="s">
        <v>785</v>
      </c>
      <c r="C294" s="6" t="s">
        <v>259</v>
      </c>
      <c r="D294" s="76" t="s">
        <v>260</v>
      </c>
      <c r="E294" s="6" t="s">
        <v>37</v>
      </c>
      <c r="F294" s="17">
        <v>1</v>
      </c>
      <c r="G294" s="14"/>
      <c r="H294" s="14"/>
      <c r="K294" s="20"/>
    </row>
    <row r="295" spans="1:11">
      <c r="A295" s="52" t="s">
        <v>261</v>
      </c>
      <c r="B295" s="53" t="s">
        <v>785</v>
      </c>
      <c r="C295" s="6" t="s">
        <v>63</v>
      </c>
      <c r="D295" s="76" t="s">
        <v>262</v>
      </c>
      <c r="E295" s="6" t="s">
        <v>16</v>
      </c>
      <c r="F295" s="17">
        <f>(6*1.1)+(2.75*1.1)+(6.75*1.1)</f>
        <v>17.05</v>
      </c>
      <c r="G295" s="14"/>
      <c r="H295" s="14"/>
      <c r="K295" s="20"/>
    </row>
    <row r="296" spans="1:11">
      <c r="A296" s="52" t="s">
        <v>263</v>
      </c>
      <c r="B296" s="53" t="s">
        <v>785</v>
      </c>
      <c r="C296" s="6" t="s">
        <v>764</v>
      </c>
      <c r="D296" s="80" t="s">
        <v>763</v>
      </c>
      <c r="E296" s="6" t="s">
        <v>18</v>
      </c>
      <c r="F296" s="17">
        <v>5</v>
      </c>
      <c r="G296" s="14"/>
      <c r="H296" s="14"/>
      <c r="K296" s="20"/>
    </row>
    <row r="297" spans="1:11">
      <c r="A297" s="52"/>
      <c r="B297" s="6"/>
      <c r="C297" s="6"/>
      <c r="D297" s="74" t="s">
        <v>264</v>
      </c>
      <c r="E297" s="6"/>
      <c r="F297" s="6"/>
      <c r="G297" s="14"/>
      <c r="H297" s="19"/>
      <c r="K297" s="20"/>
    </row>
    <row r="298" spans="1:11" ht="16.5" customHeight="1">
      <c r="A298" s="38">
        <v>13</v>
      </c>
      <c r="B298" s="12"/>
      <c r="C298" s="12"/>
      <c r="D298" s="7" t="s">
        <v>265</v>
      </c>
      <c r="E298" s="12"/>
      <c r="F298" s="12"/>
      <c r="G298" s="16"/>
      <c r="H298" s="15"/>
      <c r="K298" s="20"/>
    </row>
    <row r="299" spans="1:11" ht="29.25">
      <c r="A299" s="52" t="s">
        <v>266</v>
      </c>
      <c r="B299" s="53" t="s">
        <v>785</v>
      </c>
      <c r="C299" s="77" t="s">
        <v>267</v>
      </c>
      <c r="D299" s="78" t="s">
        <v>268</v>
      </c>
      <c r="E299" s="6" t="s">
        <v>37</v>
      </c>
      <c r="F299" s="17">
        <v>1</v>
      </c>
      <c r="G299" s="14"/>
      <c r="H299" s="14"/>
      <c r="K299" s="20"/>
    </row>
    <row r="300" spans="1:11">
      <c r="A300" s="52" t="s">
        <v>269</v>
      </c>
      <c r="B300" s="53" t="s">
        <v>785</v>
      </c>
      <c r="C300" s="77" t="s">
        <v>270</v>
      </c>
      <c r="D300" s="78" t="s">
        <v>271</v>
      </c>
      <c r="E300" s="6" t="s">
        <v>37</v>
      </c>
      <c r="F300" s="17">
        <v>1</v>
      </c>
      <c r="G300" s="14"/>
      <c r="H300" s="14"/>
      <c r="K300" s="20"/>
    </row>
    <row r="301" spans="1:11">
      <c r="A301" s="52" t="s">
        <v>272</v>
      </c>
      <c r="B301" s="53" t="s">
        <v>785</v>
      </c>
      <c r="C301" s="77" t="s">
        <v>273</v>
      </c>
      <c r="D301" s="78" t="s">
        <v>274</v>
      </c>
      <c r="E301" s="6" t="s">
        <v>37</v>
      </c>
      <c r="F301" s="17">
        <v>3</v>
      </c>
      <c r="G301" s="14"/>
      <c r="H301" s="14"/>
      <c r="K301" s="20"/>
    </row>
    <row r="302" spans="1:11">
      <c r="A302" s="52" t="s">
        <v>275</v>
      </c>
      <c r="B302" s="53" t="s">
        <v>785</v>
      </c>
      <c r="C302" s="77" t="s">
        <v>276</v>
      </c>
      <c r="D302" s="78" t="s">
        <v>277</v>
      </c>
      <c r="E302" s="6" t="s">
        <v>18</v>
      </c>
      <c r="F302" s="17">
        <f>(2.8*7)+25</f>
        <v>44.599999999999994</v>
      </c>
      <c r="G302" s="14"/>
      <c r="H302" s="14"/>
      <c r="K302" s="20"/>
    </row>
    <row r="303" spans="1:11">
      <c r="A303" s="52" t="s">
        <v>278</v>
      </c>
      <c r="B303" s="53" t="s">
        <v>785</v>
      </c>
      <c r="C303" s="77" t="s">
        <v>691</v>
      </c>
      <c r="D303" s="78" t="s">
        <v>690</v>
      </c>
      <c r="E303" s="6" t="s">
        <v>18</v>
      </c>
      <c r="F303" s="17">
        <v>6</v>
      </c>
      <c r="G303" s="14"/>
      <c r="H303" s="14"/>
      <c r="K303" s="20"/>
    </row>
    <row r="304" spans="1:11">
      <c r="A304" s="52" t="s">
        <v>279</v>
      </c>
      <c r="B304" s="53" t="s">
        <v>785</v>
      </c>
      <c r="C304" s="77" t="s">
        <v>280</v>
      </c>
      <c r="D304" s="78" t="s">
        <v>281</v>
      </c>
      <c r="E304" s="6" t="s">
        <v>18</v>
      </c>
      <c r="F304" s="17">
        <v>12</v>
      </c>
      <c r="G304" s="14"/>
      <c r="H304" s="14"/>
      <c r="K304" s="20"/>
    </row>
    <row r="305" spans="1:11">
      <c r="A305" s="52" t="s">
        <v>282</v>
      </c>
      <c r="B305" s="53" t="s">
        <v>785</v>
      </c>
      <c r="C305" s="77" t="s">
        <v>56</v>
      </c>
      <c r="D305" s="78" t="s">
        <v>57</v>
      </c>
      <c r="E305" s="6" t="s">
        <v>18</v>
      </c>
      <c r="F305" s="17">
        <f>F302*3</f>
        <v>133.79999999999998</v>
      </c>
      <c r="G305" s="14"/>
      <c r="H305" s="14"/>
      <c r="K305" s="20"/>
    </row>
    <row r="306" spans="1:11" ht="29.25">
      <c r="A306" s="52" t="s">
        <v>283</v>
      </c>
      <c r="B306" s="53" t="s">
        <v>785</v>
      </c>
      <c r="C306" s="77" t="s">
        <v>284</v>
      </c>
      <c r="D306" s="78" t="s">
        <v>285</v>
      </c>
      <c r="E306" s="6" t="s">
        <v>18</v>
      </c>
      <c r="F306" s="17">
        <f>F302*2</f>
        <v>89.199999999999989</v>
      </c>
      <c r="G306" s="14"/>
      <c r="H306" s="14"/>
      <c r="K306" s="20"/>
    </row>
    <row r="307" spans="1:11">
      <c r="A307" s="52" t="s">
        <v>286</v>
      </c>
      <c r="B307" s="53" t="s">
        <v>785</v>
      </c>
      <c r="C307" s="77" t="s">
        <v>287</v>
      </c>
      <c r="D307" s="78" t="s">
        <v>288</v>
      </c>
      <c r="E307" s="6" t="s">
        <v>18</v>
      </c>
      <c r="F307" s="17">
        <v>8</v>
      </c>
      <c r="G307" s="14"/>
      <c r="H307" s="14"/>
      <c r="K307" s="20"/>
    </row>
    <row r="308" spans="1:11">
      <c r="A308" s="52" t="s">
        <v>289</v>
      </c>
      <c r="B308" s="53" t="s">
        <v>785</v>
      </c>
      <c r="C308" s="77" t="s">
        <v>290</v>
      </c>
      <c r="D308" s="78" t="s">
        <v>291</v>
      </c>
      <c r="E308" s="6" t="s">
        <v>37</v>
      </c>
      <c r="F308" s="17">
        <v>4</v>
      </c>
      <c r="G308" s="14"/>
      <c r="H308" s="14"/>
      <c r="K308" s="20"/>
    </row>
    <row r="309" spans="1:11">
      <c r="A309" s="52" t="s">
        <v>292</v>
      </c>
      <c r="B309" s="53" t="s">
        <v>785</v>
      </c>
      <c r="C309" s="77" t="s">
        <v>293</v>
      </c>
      <c r="D309" s="78" t="s">
        <v>854</v>
      </c>
      <c r="E309" s="6" t="s">
        <v>294</v>
      </c>
      <c r="F309" s="17">
        <v>4</v>
      </c>
      <c r="G309" s="14"/>
      <c r="H309" s="14"/>
      <c r="K309" s="20"/>
    </row>
    <row r="310" spans="1:11">
      <c r="A310" s="52" t="s">
        <v>295</v>
      </c>
      <c r="B310" s="53" t="s">
        <v>785</v>
      </c>
      <c r="C310" s="77" t="s">
        <v>448</v>
      </c>
      <c r="D310" s="78" t="s">
        <v>296</v>
      </c>
      <c r="E310" s="6" t="s">
        <v>294</v>
      </c>
      <c r="F310" s="17">
        <v>5</v>
      </c>
      <c r="G310" s="14"/>
      <c r="H310" s="14"/>
      <c r="K310" s="20"/>
    </row>
    <row r="311" spans="1:11">
      <c r="A311" s="52" t="s">
        <v>297</v>
      </c>
      <c r="B311" s="53" t="s">
        <v>785</v>
      </c>
      <c r="C311" s="77" t="s">
        <v>298</v>
      </c>
      <c r="D311" s="78" t="s">
        <v>299</v>
      </c>
      <c r="E311" s="6" t="s">
        <v>98</v>
      </c>
      <c r="F311" s="17">
        <f>(0.403*3)</f>
        <v>1.2090000000000001</v>
      </c>
      <c r="G311" s="14"/>
      <c r="H311" s="14"/>
      <c r="K311" s="20"/>
    </row>
    <row r="312" spans="1:11">
      <c r="A312" s="52" t="s">
        <v>300</v>
      </c>
      <c r="B312" s="53" t="s">
        <v>785</v>
      </c>
      <c r="C312" s="77" t="s">
        <v>301</v>
      </c>
      <c r="D312" s="78" t="s">
        <v>302</v>
      </c>
      <c r="E312" s="6" t="s">
        <v>18</v>
      </c>
      <c r="F312" s="17">
        <v>24</v>
      </c>
      <c r="G312" s="14"/>
      <c r="H312" s="14"/>
      <c r="K312" s="20"/>
    </row>
    <row r="313" spans="1:11" ht="28.5">
      <c r="A313" s="52" t="s">
        <v>303</v>
      </c>
      <c r="B313" s="53" t="s">
        <v>785</v>
      </c>
      <c r="C313" s="77" t="s">
        <v>304</v>
      </c>
      <c r="D313" s="81" t="s">
        <v>305</v>
      </c>
      <c r="E313" s="6" t="s">
        <v>37</v>
      </c>
      <c r="F313" s="17">
        <v>3</v>
      </c>
      <c r="G313" s="14"/>
      <c r="H313" s="14"/>
      <c r="K313" s="20"/>
    </row>
    <row r="314" spans="1:11">
      <c r="A314" s="52" t="s">
        <v>306</v>
      </c>
      <c r="B314" s="53" t="s">
        <v>785</v>
      </c>
      <c r="C314" s="77" t="s">
        <v>52</v>
      </c>
      <c r="D314" s="78" t="s">
        <v>53</v>
      </c>
      <c r="E314" s="6" t="s">
        <v>37</v>
      </c>
      <c r="F314" s="17">
        <v>6</v>
      </c>
      <c r="G314" s="14"/>
      <c r="H314" s="14"/>
      <c r="K314" s="20"/>
    </row>
    <row r="315" spans="1:11" ht="16.5" customHeight="1">
      <c r="A315" s="52"/>
      <c r="B315" s="6"/>
      <c r="C315" s="77"/>
      <c r="D315" s="74" t="s">
        <v>307</v>
      </c>
      <c r="E315" s="6"/>
      <c r="F315" s="6"/>
      <c r="G315" s="14"/>
      <c r="H315" s="19"/>
      <c r="K315" s="20"/>
    </row>
    <row r="316" spans="1:11" ht="16.5" customHeight="1">
      <c r="A316" s="38">
        <v>14</v>
      </c>
      <c r="B316" s="12"/>
      <c r="C316" s="12"/>
      <c r="D316" s="7" t="s">
        <v>308</v>
      </c>
      <c r="E316" s="12"/>
      <c r="F316" s="12"/>
      <c r="G316" s="16"/>
      <c r="H316" s="15"/>
      <c r="K316" s="20"/>
    </row>
    <row r="317" spans="1:11">
      <c r="A317" s="52" t="s">
        <v>454</v>
      </c>
      <c r="B317" s="53" t="s">
        <v>785</v>
      </c>
      <c r="C317" s="6" t="s">
        <v>310</v>
      </c>
      <c r="D317" s="76" t="s">
        <v>311</v>
      </c>
      <c r="E317" s="6" t="s">
        <v>18</v>
      </c>
      <c r="F317" s="17">
        <f>(15+3)</f>
        <v>18</v>
      </c>
      <c r="G317" s="14"/>
      <c r="H317" s="14"/>
      <c r="K317" s="20"/>
    </row>
    <row r="318" spans="1:11">
      <c r="A318" s="52" t="s">
        <v>309</v>
      </c>
      <c r="B318" s="53" t="s">
        <v>785</v>
      </c>
      <c r="C318" s="6" t="s">
        <v>313</v>
      </c>
      <c r="D318" s="76" t="s">
        <v>314</v>
      </c>
      <c r="E318" s="6" t="s">
        <v>18</v>
      </c>
      <c r="F318" s="17">
        <f>(2.2+3.8)</f>
        <v>6</v>
      </c>
      <c r="G318" s="14"/>
      <c r="H318" s="14"/>
      <c r="K318" s="20"/>
    </row>
    <row r="319" spans="1:11" ht="29.25">
      <c r="A319" s="52" t="s">
        <v>312</v>
      </c>
      <c r="B319" s="53" t="s">
        <v>785</v>
      </c>
      <c r="C319" s="6" t="s">
        <v>316</v>
      </c>
      <c r="D319" s="78" t="s">
        <v>317</v>
      </c>
      <c r="E319" s="6" t="s">
        <v>18</v>
      </c>
      <c r="F319" s="17">
        <f>(1+2+1+2.5+1+1.5+1+2)</f>
        <v>12</v>
      </c>
      <c r="G319" s="14"/>
      <c r="H319" s="14"/>
      <c r="K319" s="20"/>
    </row>
    <row r="320" spans="1:11" ht="29.25">
      <c r="A320" s="52" t="s">
        <v>315</v>
      </c>
      <c r="B320" s="53" t="s">
        <v>785</v>
      </c>
      <c r="C320" s="6" t="s">
        <v>319</v>
      </c>
      <c r="D320" s="78" t="s">
        <v>320</v>
      </c>
      <c r="E320" s="6" t="s">
        <v>18</v>
      </c>
      <c r="F320" s="17">
        <f>(4+2+6)</f>
        <v>12</v>
      </c>
      <c r="G320" s="14"/>
      <c r="H320" s="14"/>
      <c r="K320" s="20"/>
    </row>
    <row r="321" spans="1:11">
      <c r="A321" s="52" t="s">
        <v>318</v>
      </c>
      <c r="B321" s="53" t="s">
        <v>785</v>
      </c>
      <c r="C321" s="6" t="s">
        <v>322</v>
      </c>
      <c r="D321" s="76" t="s">
        <v>323</v>
      </c>
      <c r="E321" s="6" t="s">
        <v>37</v>
      </c>
      <c r="F321" s="17">
        <v>2</v>
      </c>
      <c r="G321" s="14"/>
      <c r="H321" s="14"/>
      <c r="K321" s="20"/>
    </row>
    <row r="322" spans="1:11">
      <c r="A322" s="52" t="s">
        <v>321</v>
      </c>
      <c r="B322" s="53" t="s">
        <v>785</v>
      </c>
      <c r="C322" s="6" t="s">
        <v>325</v>
      </c>
      <c r="D322" s="76" t="s">
        <v>326</v>
      </c>
      <c r="E322" s="6" t="s">
        <v>37</v>
      </c>
      <c r="F322" s="17">
        <v>1</v>
      </c>
      <c r="G322" s="14"/>
      <c r="H322" s="14"/>
      <c r="K322" s="20"/>
    </row>
    <row r="323" spans="1:11" ht="29.25">
      <c r="A323" s="52" t="s">
        <v>324</v>
      </c>
      <c r="B323" s="53" t="s">
        <v>785</v>
      </c>
      <c r="C323" s="6" t="s">
        <v>328</v>
      </c>
      <c r="D323" s="78" t="s">
        <v>329</v>
      </c>
      <c r="E323" s="6" t="s">
        <v>37</v>
      </c>
      <c r="F323" s="17">
        <v>2</v>
      </c>
      <c r="G323" s="14"/>
      <c r="H323" s="14"/>
      <c r="K323" s="20"/>
    </row>
    <row r="324" spans="1:11" ht="29.25">
      <c r="A324" s="52" t="s">
        <v>327</v>
      </c>
      <c r="B324" s="53" t="s">
        <v>785</v>
      </c>
      <c r="C324" s="6" t="s">
        <v>331</v>
      </c>
      <c r="D324" s="78" t="s">
        <v>332</v>
      </c>
      <c r="E324" s="6" t="s">
        <v>37</v>
      </c>
      <c r="F324" s="17">
        <v>1</v>
      </c>
      <c r="G324" s="14"/>
      <c r="H324" s="14"/>
      <c r="K324" s="20"/>
    </row>
    <row r="325" spans="1:11">
      <c r="A325" s="52"/>
      <c r="B325" s="6"/>
      <c r="C325" s="6"/>
      <c r="D325" s="74" t="s">
        <v>333</v>
      </c>
      <c r="E325" s="6"/>
      <c r="F325" s="17"/>
      <c r="G325" s="14"/>
      <c r="H325" s="19"/>
      <c r="K325" s="20"/>
    </row>
    <row r="326" spans="1:11">
      <c r="A326" s="38">
        <v>15</v>
      </c>
      <c r="B326" s="12"/>
      <c r="C326" s="12"/>
      <c r="D326" s="7" t="s">
        <v>334</v>
      </c>
      <c r="E326" s="12"/>
      <c r="F326" s="12"/>
      <c r="G326" s="16"/>
      <c r="H326" s="15"/>
      <c r="K326" s="20"/>
    </row>
    <row r="327" spans="1:11">
      <c r="A327" s="97" t="s">
        <v>335</v>
      </c>
      <c r="B327" s="53" t="s">
        <v>785</v>
      </c>
      <c r="C327" s="6" t="s">
        <v>336</v>
      </c>
      <c r="D327" s="76" t="s">
        <v>337</v>
      </c>
      <c r="E327" s="6" t="s">
        <v>37</v>
      </c>
      <c r="F327" s="17">
        <v>1</v>
      </c>
      <c r="G327" s="14"/>
      <c r="H327" s="14"/>
      <c r="K327" s="20"/>
    </row>
    <row r="328" spans="1:11">
      <c r="A328" s="97" t="s">
        <v>338</v>
      </c>
      <c r="B328" s="53" t="s">
        <v>785</v>
      </c>
      <c r="C328" s="6" t="s">
        <v>339</v>
      </c>
      <c r="D328" s="76" t="s">
        <v>340</v>
      </c>
      <c r="E328" s="6" t="s">
        <v>37</v>
      </c>
      <c r="F328" s="17">
        <v>1</v>
      </c>
      <c r="G328" s="14"/>
      <c r="H328" s="14"/>
      <c r="K328" s="20"/>
    </row>
    <row r="329" spans="1:11" ht="29.25">
      <c r="A329" s="97" t="s">
        <v>341</v>
      </c>
      <c r="B329" s="53" t="s">
        <v>785</v>
      </c>
      <c r="C329" s="6" t="s">
        <v>342</v>
      </c>
      <c r="D329" s="78" t="s">
        <v>343</v>
      </c>
      <c r="E329" s="6" t="s">
        <v>37</v>
      </c>
      <c r="F329" s="17">
        <v>1</v>
      </c>
      <c r="G329" s="14"/>
      <c r="H329" s="14"/>
      <c r="K329" s="20"/>
    </row>
    <row r="330" spans="1:11" ht="28.5">
      <c r="A330" s="97" t="s">
        <v>344</v>
      </c>
      <c r="B330" s="53" t="s">
        <v>785</v>
      </c>
      <c r="C330" s="6" t="s">
        <v>793</v>
      </c>
      <c r="D330" s="82" t="s">
        <v>345</v>
      </c>
      <c r="E330" s="6" t="s">
        <v>37</v>
      </c>
      <c r="F330" s="17">
        <v>2</v>
      </c>
      <c r="G330" s="14"/>
      <c r="H330" s="14"/>
      <c r="K330" s="20"/>
    </row>
    <row r="331" spans="1:11">
      <c r="A331" s="97"/>
      <c r="B331" s="6"/>
      <c r="C331" s="6"/>
      <c r="D331" s="71" t="s">
        <v>346</v>
      </c>
      <c r="E331" s="6"/>
      <c r="F331" s="17"/>
      <c r="G331" s="14"/>
      <c r="H331" s="19"/>
      <c r="K331" s="20"/>
    </row>
    <row r="332" spans="1:11">
      <c r="A332" s="97"/>
      <c r="B332" s="6"/>
      <c r="C332" s="6"/>
      <c r="D332" s="71"/>
      <c r="E332" s="6"/>
      <c r="F332" s="17"/>
      <c r="G332" s="14"/>
      <c r="H332" s="19"/>
      <c r="K332" s="20"/>
    </row>
    <row r="333" spans="1:11">
      <c r="A333" s="38">
        <v>16</v>
      </c>
      <c r="B333" s="12"/>
      <c r="C333" s="12"/>
      <c r="D333" s="7" t="s">
        <v>347</v>
      </c>
      <c r="E333" s="12"/>
      <c r="F333" s="12"/>
      <c r="G333" s="16"/>
      <c r="H333" s="15"/>
      <c r="K333" s="20"/>
    </row>
    <row r="334" spans="1:11">
      <c r="A334" s="52" t="s">
        <v>484</v>
      </c>
      <c r="B334" s="53" t="s">
        <v>785</v>
      </c>
      <c r="C334" s="6" t="s">
        <v>348</v>
      </c>
      <c r="D334" s="1" t="s">
        <v>349</v>
      </c>
      <c r="E334" s="6" t="s">
        <v>16</v>
      </c>
      <c r="F334" s="17">
        <v>35.32</v>
      </c>
      <c r="G334" s="14"/>
      <c r="H334" s="14"/>
      <c r="K334" s="20"/>
    </row>
    <row r="335" spans="1:11">
      <c r="A335" s="11"/>
      <c r="B335" s="6"/>
      <c r="C335" s="6"/>
      <c r="D335" s="23" t="s">
        <v>485</v>
      </c>
      <c r="E335" s="6"/>
      <c r="F335" s="17"/>
      <c r="G335" s="14"/>
      <c r="H335" s="19"/>
      <c r="K335" s="20"/>
    </row>
    <row r="336" spans="1:11">
      <c r="A336" s="83"/>
      <c r="B336" s="84"/>
      <c r="C336" s="84"/>
      <c r="D336" s="85"/>
      <c r="E336" s="85"/>
      <c r="F336" s="84"/>
      <c r="G336" s="85"/>
      <c r="H336" s="85"/>
      <c r="K336" s="20"/>
    </row>
    <row r="337" spans="1:11">
      <c r="A337" s="86"/>
      <c r="B337" s="13"/>
      <c r="C337" s="13"/>
      <c r="D337" s="87" t="s">
        <v>35</v>
      </c>
      <c r="E337" s="2"/>
      <c r="F337" s="13"/>
      <c r="G337" s="2"/>
      <c r="H337" s="16"/>
      <c r="K337" s="20"/>
    </row>
    <row r="338" spans="1:11">
      <c r="A338" s="86"/>
      <c r="B338" s="13"/>
      <c r="C338" s="13"/>
      <c r="D338" s="87" t="s">
        <v>796</v>
      </c>
      <c r="E338" s="2"/>
      <c r="F338" s="13"/>
      <c r="G338" s="150"/>
      <c r="H338" s="16"/>
      <c r="K338" s="20"/>
    </row>
    <row r="339" spans="1:11">
      <c r="A339" s="86"/>
      <c r="B339" s="86"/>
      <c r="C339" s="86"/>
      <c r="D339" s="87" t="s">
        <v>489</v>
      </c>
      <c r="E339" s="86"/>
      <c r="F339" s="86"/>
      <c r="G339" s="86"/>
      <c r="H339" s="88"/>
      <c r="K339" s="20"/>
    </row>
    <row r="340" spans="1:11" ht="16.5" customHeight="1">
      <c r="A340" s="32"/>
      <c r="B340" s="33"/>
      <c r="C340" s="33"/>
      <c r="D340" s="29"/>
      <c r="E340" s="32"/>
      <c r="F340" s="42"/>
      <c r="G340" s="68"/>
      <c r="H340" s="68"/>
      <c r="K340" s="20"/>
    </row>
    <row r="341" spans="1:11">
      <c r="A341" s="11"/>
      <c r="B341" s="6"/>
      <c r="C341" s="6"/>
      <c r="D341" s="11"/>
      <c r="E341" s="6"/>
      <c r="F341" s="17"/>
      <c r="G341" s="14"/>
      <c r="H341" s="14"/>
    </row>
    <row r="342" spans="1:11">
      <c r="A342" s="12" t="s">
        <v>351</v>
      </c>
      <c r="B342" s="13"/>
      <c r="C342" s="13"/>
      <c r="D342" s="7" t="s">
        <v>58</v>
      </c>
      <c r="E342" s="2"/>
      <c r="F342" s="2"/>
      <c r="G342" s="40"/>
      <c r="H342" s="145"/>
    </row>
    <row r="343" spans="1:11">
      <c r="A343" s="12">
        <v>1</v>
      </c>
      <c r="B343" s="13"/>
      <c r="C343" s="13"/>
      <c r="D343" s="7" t="s">
        <v>36</v>
      </c>
      <c r="E343" s="2"/>
      <c r="F343" s="2"/>
      <c r="G343" s="40"/>
      <c r="H343" s="145"/>
    </row>
    <row r="344" spans="1:11">
      <c r="A344" s="32" t="s">
        <v>9</v>
      </c>
      <c r="B344" s="53" t="s">
        <v>785</v>
      </c>
      <c r="C344" s="32" t="s">
        <v>63</v>
      </c>
      <c r="D344" s="33" t="s">
        <v>64</v>
      </c>
      <c r="E344" s="53" t="s">
        <v>16</v>
      </c>
      <c r="F344" s="54">
        <v>101</v>
      </c>
      <c r="G344" s="41"/>
      <c r="H344" s="146"/>
    </row>
    <row r="345" spans="1:11">
      <c r="A345" s="32" t="s">
        <v>23</v>
      </c>
      <c r="B345" s="53" t="s">
        <v>785</v>
      </c>
      <c r="C345" s="32" t="s">
        <v>68</v>
      </c>
      <c r="D345" s="33" t="s">
        <v>67</v>
      </c>
      <c r="E345" s="53" t="s">
        <v>17</v>
      </c>
      <c r="F345" s="54">
        <v>5.05</v>
      </c>
      <c r="G345" s="67"/>
      <c r="H345" s="146"/>
    </row>
    <row r="346" spans="1:11">
      <c r="A346" s="52" t="s">
        <v>51</v>
      </c>
      <c r="B346" s="53" t="s">
        <v>785</v>
      </c>
      <c r="C346" s="66" t="s">
        <v>66</v>
      </c>
      <c r="D346" s="1" t="s">
        <v>65</v>
      </c>
      <c r="E346" s="6" t="s">
        <v>16</v>
      </c>
      <c r="F346" s="17">
        <v>40.32</v>
      </c>
      <c r="G346" s="14"/>
      <c r="H346" s="146"/>
    </row>
    <row r="347" spans="1:11">
      <c r="A347" s="52" t="s">
        <v>62</v>
      </c>
      <c r="B347" s="53" t="s">
        <v>785</v>
      </c>
      <c r="C347" s="66" t="s">
        <v>38</v>
      </c>
      <c r="D347" s="21" t="s">
        <v>39</v>
      </c>
      <c r="E347" s="6" t="s">
        <v>16</v>
      </c>
      <c r="F347" s="17">
        <v>40.32</v>
      </c>
      <c r="G347" s="14"/>
      <c r="H347" s="146"/>
      <c r="I347" s="63"/>
      <c r="J347" s="48"/>
    </row>
    <row r="348" spans="1:11">
      <c r="A348" s="52" t="s">
        <v>765</v>
      </c>
      <c r="B348" s="53" t="s">
        <v>785</v>
      </c>
      <c r="C348" s="66" t="s">
        <v>167</v>
      </c>
      <c r="D348" s="21" t="s">
        <v>168</v>
      </c>
      <c r="E348" s="6" t="s">
        <v>18</v>
      </c>
      <c r="F348" s="17">
        <f>(9.2+9.2)*1.077</f>
        <v>19.816799999999997</v>
      </c>
      <c r="G348" s="14"/>
      <c r="H348" s="146"/>
      <c r="I348" s="63"/>
      <c r="J348" s="48"/>
    </row>
    <row r="349" spans="1:11" ht="15.75">
      <c r="A349" s="37"/>
      <c r="B349" s="35"/>
      <c r="C349" s="35"/>
      <c r="D349" s="91" t="s">
        <v>21</v>
      </c>
      <c r="E349" s="35"/>
      <c r="F349" s="35"/>
      <c r="G349" s="36"/>
      <c r="H349" s="43"/>
      <c r="I349" s="63"/>
      <c r="J349" s="48"/>
    </row>
    <row r="350" spans="1:11">
      <c r="A350" s="38">
        <v>2</v>
      </c>
      <c r="B350" s="2"/>
      <c r="C350" s="2"/>
      <c r="D350" s="7" t="s">
        <v>41</v>
      </c>
      <c r="E350" s="2"/>
      <c r="F350" s="2"/>
      <c r="G350" s="40"/>
      <c r="H350" s="40"/>
      <c r="I350" s="64"/>
      <c r="J350" s="48"/>
    </row>
    <row r="351" spans="1:11">
      <c r="A351" s="39"/>
      <c r="B351" s="33"/>
      <c r="C351" s="33"/>
      <c r="D351" s="55"/>
      <c r="E351" s="33"/>
      <c r="F351" s="33"/>
      <c r="G351" s="41"/>
      <c r="H351" s="41"/>
      <c r="I351" s="64"/>
      <c r="J351" s="48"/>
    </row>
    <row r="352" spans="1:11">
      <c r="A352" s="53" t="s">
        <v>59</v>
      </c>
      <c r="B352" s="53" t="s">
        <v>785</v>
      </c>
      <c r="C352" s="32" t="s">
        <v>68</v>
      </c>
      <c r="D352" s="33" t="s">
        <v>67</v>
      </c>
      <c r="E352" s="53" t="s">
        <v>17</v>
      </c>
      <c r="F352" s="54">
        <v>2.25</v>
      </c>
      <c r="G352" s="67"/>
      <c r="H352" s="41"/>
      <c r="I352" s="65"/>
      <c r="J352" s="48"/>
    </row>
    <row r="353" spans="1:8">
      <c r="A353" s="53" t="s">
        <v>72</v>
      </c>
      <c r="B353" s="53" t="s">
        <v>785</v>
      </c>
      <c r="C353" s="52" t="s">
        <v>70</v>
      </c>
      <c r="D353" s="28" t="s">
        <v>69</v>
      </c>
      <c r="E353" s="53" t="s">
        <v>71</v>
      </c>
      <c r="F353" s="54">
        <v>25.43</v>
      </c>
      <c r="G353" s="57"/>
      <c r="H353" s="56"/>
    </row>
    <row r="354" spans="1:8" ht="15.75">
      <c r="A354" s="58"/>
      <c r="B354" s="53"/>
      <c r="C354" s="53"/>
      <c r="D354" s="95" t="s">
        <v>124</v>
      </c>
      <c r="E354" s="53"/>
      <c r="F354" s="54"/>
      <c r="G354" s="57"/>
      <c r="H354" s="92"/>
    </row>
    <row r="355" spans="1:8" ht="15.75">
      <c r="A355" s="38">
        <v>3</v>
      </c>
      <c r="B355" s="2"/>
      <c r="C355" s="2"/>
      <c r="D355" s="34" t="s">
        <v>42</v>
      </c>
      <c r="E355" s="2"/>
      <c r="F355" s="2"/>
      <c r="G355" s="40"/>
      <c r="H355" s="40"/>
    </row>
    <row r="356" spans="1:8">
      <c r="A356" s="53" t="s">
        <v>10</v>
      </c>
      <c r="B356" s="53" t="s">
        <v>785</v>
      </c>
      <c r="C356" s="52" t="s">
        <v>60</v>
      </c>
      <c r="D356" s="33" t="s">
        <v>819</v>
      </c>
      <c r="E356" s="53" t="s">
        <v>16</v>
      </c>
      <c r="F356" s="54">
        <f>18+8.4</f>
        <v>26.4</v>
      </c>
      <c r="G356" s="59"/>
      <c r="H356" s="56"/>
    </row>
    <row r="357" spans="1:8" ht="15.75">
      <c r="A357" s="58"/>
      <c r="B357" s="53"/>
      <c r="C357" s="53"/>
      <c r="D357" s="95" t="s">
        <v>22</v>
      </c>
      <c r="E357" s="53"/>
      <c r="F357" s="54"/>
      <c r="G357" s="57"/>
      <c r="H357" s="92"/>
    </row>
    <row r="358" spans="1:8" ht="15.75">
      <c r="A358" s="38">
        <v>4</v>
      </c>
      <c r="B358" s="2"/>
      <c r="C358" s="2"/>
      <c r="D358" s="34" t="s">
        <v>43</v>
      </c>
      <c r="E358" s="2"/>
      <c r="F358" s="2"/>
      <c r="G358" s="40"/>
      <c r="H358" s="40"/>
    </row>
    <row r="359" spans="1:8" ht="15.75">
      <c r="A359" s="32" t="s">
        <v>11</v>
      </c>
      <c r="B359" s="53" t="s">
        <v>785</v>
      </c>
      <c r="C359" s="32" t="s">
        <v>44</v>
      </c>
      <c r="D359" s="36" t="s">
        <v>45</v>
      </c>
      <c r="E359" s="53" t="s">
        <v>16</v>
      </c>
      <c r="F359" s="42">
        <f>(0.68*95)+(0.46*64)+(0.35*10)+(0.5*1.1)+ (0.05*0.06*231.75)+ 101</f>
        <v>199.78525000000002</v>
      </c>
      <c r="G359" s="41"/>
      <c r="H359" s="41"/>
    </row>
    <row r="360" spans="1:8" ht="15.75">
      <c r="A360" s="33"/>
      <c r="B360" s="33"/>
      <c r="C360" s="33"/>
      <c r="D360" s="91" t="s">
        <v>163</v>
      </c>
      <c r="E360" s="53"/>
      <c r="F360" s="33"/>
      <c r="G360" s="41"/>
      <c r="H360" s="43"/>
    </row>
    <row r="361" spans="1:8">
      <c r="A361" s="12">
        <v>5</v>
      </c>
      <c r="B361" s="2"/>
      <c r="C361" s="2"/>
      <c r="D361" s="7" t="s">
        <v>46</v>
      </c>
      <c r="E361" s="94"/>
      <c r="F361" s="2"/>
      <c r="G361" s="40"/>
      <c r="H361" s="40"/>
    </row>
    <row r="362" spans="1:8">
      <c r="A362" s="52" t="s">
        <v>13</v>
      </c>
      <c r="B362" s="53" t="s">
        <v>785</v>
      </c>
      <c r="C362" s="52" t="s">
        <v>47</v>
      </c>
      <c r="D362" s="60" t="s">
        <v>48</v>
      </c>
      <c r="E362" s="6" t="s">
        <v>18</v>
      </c>
      <c r="F362" s="17">
        <v>115.05</v>
      </c>
      <c r="G362" s="14"/>
      <c r="H362" s="14"/>
    </row>
    <row r="363" spans="1:8">
      <c r="A363" s="52" t="s">
        <v>14</v>
      </c>
      <c r="B363" s="53" t="s">
        <v>785</v>
      </c>
      <c r="C363" s="52" t="s">
        <v>49</v>
      </c>
      <c r="D363" s="60" t="s">
        <v>50</v>
      </c>
      <c r="E363" s="6" t="s">
        <v>18</v>
      </c>
      <c r="F363" s="17">
        <v>49.402000000000001</v>
      </c>
      <c r="G363" s="14"/>
      <c r="H363" s="14"/>
    </row>
    <row r="364" spans="1:8">
      <c r="A364" s="52" t="s">
        <v>15</v>
      </c>
      <c r="B364" s="53" t="s">
        <v>785</v>
      </c>
      <c r="C364" s="52" t="s">
        <v>52</v>
      </c>
      <c r="D364" s="61" t="s">
        <v>53</v>
      </c>
      <c r="E364" s="6" t="s">
        <v>37</v>
      </c>
      <c r="F364" s="17">
        <v>6</v>
      </c>
      <c r="G364" s="14"/>
      <c r="H364" s="14"/>
    </row>
    <row r="365" spans="1:8">
      <c r="A365" s="52" t="s">
        <v>24</v>
      </c>
      <c r="B365" s="53" t="s">
        <v>785</v>
      </c>
      <c r="C365" s="52" t="s">
        <v>54</v>
      </c>
      <c r="D365" s="61" t="s">
        <v>55</v>
      </c>
      <c r="E365" s="6" t="s">
        <v>18</v>
      </c>
      <c r="F365" s="17">
        <v>230</v>
      </c>
      <c r="G365" s="14"/>
      <c r="H365" s="14"/>
    </row>
    <row r="366" spans="1:8">
      <c r="A366" s="52" t="s">
        <v>25</v>
      </c>
      <c r="B366" s="53" t="s">
        <v>785</v>
      </c>
      <c r="C366" s="52" t="s">
        <v>56</v>
      </c>
      <c r="D366" s="61" t="s">
        <v>57</v>
      </c>
      <c r="E366" s="6" t="s">
        <v>18</v>
      </c>
      <c r="F366" s="17">
        <v>148.28</v>
      </c>
      <c r="G366" s="14"/>
      <c r="H366" s="14"/>
    </row>
    <row r="367" spans="1:8">
      <c r="A367" s="52" t="s">
        <v>26</v>
      </c>
      <c r="B367" s="53" t="s">
        <v>785</v>
      </c>
      <c r="C367" s="52" t="s">
        <v>798</v>
      </c>
      <c r="D367" s="61" t="s">
        <v>797</v>
      </c>
      <c r="E367" s="6" t="s">
        <v>37</v>
      </c>
      <c r="F367" s="17">
        <v>1</v>
      </c>
      <c r="G367" s="14"/>
      <c r="H367" s="14"/>
    </row>
    <row r="368" spans="1:8">
      <c r="A368" s="52" t="s">
        <v>367</v>
      </c>
      <c r="B368" s="53" t="s">
        <v>785</v>
      </c>
      <c r="C368" s="52" t="s">
        <v>846</v>
      </c>
      <c r="D368" s="61" t="s">
        <v>845</v>
      </c>
      <c r="E368" s="6" t="s">
        <v>37</v>
      </c>
      <c r="F368" s="17">
        <v>1</v>
      </c>
      <c r="G368" s="14"/>
      <c r="H368" s="14"/>
    </row>
    <row r="369" spans="1:8">
      <c r="A369" s="58"/>
      <c r="B369" s="53"/>
      <c r="C369" s="53"/>
      <c r="D369" s="93" t="s">
        <v>169</v>
      </c>
      <c r="E369" s="53"/>
      <c r="F369" s="54"/>
      <c r="G369" s="57"/>
      <c r="H369" s="92"/>
    </row>
    <row r="370" spans="1:8">
      <c r="A370" s="33"/>
      <c r="B370" s="33"/>
      <c r="C370" s="33"/>
      <c r="D370" s="33"/>
      <c r="E370" s="33"/>
      <c r="F370" s="33"/>
      <c r="G370" s="41"/>
      <c r="H370" s="41"/>
    </row>
    <row r="371" spans="1:8" ht="14.25" customHeight="1">
      <c r="A371" s="55"/>
      <c r="B371" s="55"/>
      <c r="C371" s="55"/>
      <c r="D371" s="87" t="s">
        <v>35</v>
      </c>
      <c r="E371" s="7"/>
      <c r="F371" s="7"/>
      <c r="G371" s="62"/>
      <c r="H371" s="62"/>
    </row>
    <row r="372" spans="1:8" ht="15.75" customHeight="1">
      <c r="A372" s="55"/>
      <c r="B372" s="55"/>
      <c r="C372" s="55"/>
      <c r="D372" s="87" t="s">
        <v>796</v>
      </c>
      <c r="E372" s="7"/>
      <c r="F372" s="7"/>
      <c r="G372" s="150"/>
      <c r="H372" s="62"/>
    </row>
    <row r="373" spans="1:8" ht="15.75" customHeight="1">
      <c r="A373" s="33"/>
      <c r="B373" s="33"/>
      <c r="C373" s="33"/>
      <c r="D373" s="87" t="s">
        <v>487</v>
      </c>
      <c r="E373" s="2"/>
      <c r="F373" s="2"/>
      <c r="G373" s="40"/>
      <c r="H373" s="62"/>
    </row>
    <row r="374" spans="1:8" ht="15.75" customHeight="1">
      <c r="A374" s="33"/>
      <c r="B374" s="33"/>
      <c r="C374" s="33"/>
      <c r="D374" s="55"/>
      <c r="E374" s="33"/>
      <c r="F374" s="33"/>
      <c r="G374" s="41"/>
      <c r="H374" s="43"/>
    </row>
    <row r="375" spans="1:8" ht="15.75" customHeight="1">
      <c r="A375" s="33"/>
      <c r="B375" s="33"/>
      <c r="C375" s="33"/>
      <c r="D375" s="7" t="s">
        <v>488</v>
      </c>
      <c r="E375" s="2"/>
      <c r="F375" s="2"/>
      <c r="G375" s="40"/>
      <c r="H375" s="62"/>
    </row>
    <row r="376" spans="1:8" ht="15.75" customHeight="1">
      <c r="A376" s="33"/>
      <c r="B376" s="33"/>
      <c r="C376" s="33"/>
      <c r="D376" s="55"/>
      <c r="E376" s="33"/>
      <c r="F376" s="33"/>
      <c r="G376" s="41"/>
      <c r="H376" s="43"/>
    </row>
    <row r="377" spans="1:8">
      <c r="A377" s="44"/>
      <c r="B377" s="45"/>
      <c r="C377" s="45"/>
      <c r="D377" s="45"/>
      <c r="E377" s="45"/>
      <c r="F377" s="45"/>
      <c r="G377" s="45"/>
      <c r="H377" s="46"/>
    </row>
    <row r="378" spans="1:8">
      <c r="A378" s="47"/>
      <c r="B378" s="48"/>
      <c r="C378" s="48"/>
      <c r="D378" s="48"/>
      <c r="E378" s="260"/>
      <c r="F378" s="260"/>
      <c r="G378" s="260"/>
      <c r="H378" s="261"/>
    </row>
    <row r="379" spans="1:8">
      <c r="A379" s="47"/>
      <c r="B379" s="48"/>
      <c r="C379" s="48"/>
      <c r="D379" s="49"/>
      <c r="E379" s="262" t="s">
        <v>19</v>
      </c>
      <c r="F379" s="262"/>
      <c r="G379" s="262"/>
      <c r="H379" s="263"/>
    </row>
    <row r="380" spans="1:8" ht="15.75">
      <c r="A380" s="47"/>
      <c r="B380" s="48"/>
      <c r="C380" s="48"/>
      <c r="D380" s="144"/>
      <c r="E380" s="264" t="s">
        <v>20</v>
      </c>
      <c r="F380" s="264"/>
      <c r="G380" s="264"/>
      <c r="H380" s="265"/>
    </row>
    <row r="381" spans="1:8">
      <c r="A381" s="50"/>
      <c r="B381" s="51"/>
      <c r="C381" s="51"/>
      <c r="D381" s="51"/>
      <c r="E381" s="266" t="s">
        <v>783</v>
      </c>
      <c r="F381" s="266"/>
      <c r="G381" s="266"/>
      <c r="H381" s="267"/>
    </row>
  </sheetData>
  <mergeCells count="9">
    <mergeCell ref="A1:H8"/>
    <mergeCell ref="E378:H378"/>
    <mergeCell ref="E379:H379"/>
    <mergeCell ref="E380:H380"/>
    <mergeCell ref="E381:H381"/>
    <mergeCell ref="E14:H14"/>
    <mergeCell ref="B11:H11"/>
    <mergeCell ref="B12:H12"/>
    <mergeCell ref="A10:H10"/>
  </mergeCells>
  <pageMargins left="0.51181102362204722" right="0.51181102362204722" top="0.78740157480314965" bottom="0.78740157480314965" header="0.31496062992125984" footer="0.31496062992125984"/>
  <pageSetup paperSize="9" scale="78" fitToHeight="0" orientation="landscape" r:id="rId1"/>
  <headerFooter>
    <oddFooter>&amp;C&amp;"Arial,Normal"&amp;8Prefeitura Municipal da Estância Turística de Paraguaçu Paulista - SP - Av. Siqueira Campos 1430 - CEP 19.700-000Fone: (18)3361-9100 - Fax: (18)3361-1331 – www.eparaguacu.sp.gov.br&amp;R&amp;P</oddFooter>
  </headerFooter>
  <colBreaks count="1" manualBreakCount="1">
    <brk id="3" max="37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62"/>
  <sheetViews>
    <sheetView view="pageBreakPreview" topLeftCell="A349" zoomScale="120" zoomScaleNormal="120" zoomScaleSheetLayoutView="120" workbookViewId="0">
      <selection activeCell="F23" sqref="F23"/>
    </sheetView>
  </sheetViews>
  <sheetFormatPr defaultRowHeight="15"/>
  <cols>
    <col min="1" max="1" width="8.140625" customWidth="1"/>
    <col min="2" max="2" width="15" customWidth="1"/>
    <col min="3" max="3" width="15.140625" customWidth="1"/>
    <col min="4" max="4" width="82.42578125" customWidth="1"/>
    <col min="5" max="5" width="12.85546875" customWidth="1"/>
    <col min="6" max="6" width="13.5703125" customWidth="1"/>
    <col min="7" max="7" width="14.5703125" customWidth="1"/>
    <col min="8" max="8" width="50.7109375" customWidth="1"/>
  </cols>
  <sheetData>
    <row r="1" spans="1:8">
      <c r="A1" s="254" t="s">
        <v>28</v>
      </c>
      <c r="B1" s="255"/>
      <c r="C1" s="255"/>
      <c r="D1" s="255"/>
      <c r="E1" s="255"/>
      <c r="F1" s="255"/>
      <c r="G1" s="255"/>
      <c r="H1" s="256"/>
    </row>
    <row r="2" spans="1:8">
      <c r="A2" s="257"/>
      <c r="B2" s="258"/>
      <c r="C2" s="258"/>
      <c r="D2" s="258"/>
      <c r="E2" s="258"/>
      <c r="F2" s="258"/>
      <c r="G2" s="258"/>
      <c r="H2" s="259"/>
    </row>
    <row r="3" spans="1:8">
      <c r="A3" s="257"/>
      <c r="B3" s="258"/>
      <c r="C3" s="258"/>
      <c r="D3" s="258"/>
      <c r="E3" s="258"/>
      <c r="F3" s="258"/>
      <c r="G3" s="258"/>
      <c r="H3" s="259"/>
    </row>
    <row r="4" spans="1:8">
      <c r="A4" s="257"/>
      <c r="B4" s="258"/>
      <c r="C4" s="258"/>
      <c r="D4" s="258"/>
      <c r="E4" s="258"/>
      <c r="F4" s="258"/>
      <c r="G4" s="258"/>
      <c r="H4" s="259"/>
    </row>
    <row r="5" spans="1:8">
      <c r="A5" s="257"/>
      <c r="B5" s="258"/>
      <c r="C5" s="258"/>
      <c r="D5" s="258"/>
      <c r="E5" s="258"/>
      <c r="F5" s="258"/>
      <c r="G5" s="258"/>
      <c r="H5" s="259"/>
    </row>
    <row r="6" spans="1:8">
      <c r="A6" s="257"/>
      <c r="B6" s="258"/>
      <c r="C6" s="258"/>
      <c r="D6" s="258"/>
      <c r="E6" s="258"/>
      <c r="F6" s="258"/>
      <c r="G6" s="258"/>
      <c r="H6" s="259"/>
    </row>
    <row r="7" spans="1:8">
      <c r="A7" s="257"/>
      <c r="B7" s="258"/>
      <c r="C7" s="258"/>
      <c r="D7" s="258"/>
      <c r="E7" s="258"/>
      <c r="F7" s="258"/>
      <c r="G7" s="258"/>
      <c r="H7" s="259"/>
    </row>
    <row r="8" spans="1:8">
      <c r="A8" s="257"/>
      <c r="B8" s="258"/>
      <c r="C8" s="258"/>
      <c r="D8" s="258"/>
      <c r="E8" s="258"/>
      <c r="F8" s="258"/>
      <c r="G8" s="258"/>
      <c r="H8" s="259"/>
    </row>
    <row r="9" spans="1:8">
      <c r="A9" s="24"/>
      <c r="B9" s="25"/>
      <c r="C9" s="25"/>
      <c r="D9" s="25"/>
      <c r="E9" s="25"/>
      <c r="F9" s="25"/>
      <c r="G9" s="25"/>
      <c r="H9" s="26"/>
    </row>
    <row r="10" spans="1:8" ht="18">
      <c r="A10" s="274" t="s">
        <v>508</v>
      </c>
      <c r="B10" s="275"/>
      <c r="C10" s="275"/>
      <c r="D10" s="275"/>
      <c r="E10" s="275"/>
      <c r="F10" s="275"/>
      <c r="G10" s="275"/>
      <c r="H10" s="276"/>
    </row>
    <row r="11" spans="1:8" ht="15.75">
      <c r="A11" s="3"/>
      <c r="B11" s="270" t="s">
        <v>735</v>
      </c>
      <c r="C11" s="270"/>
      <c r="D11" s="270"/>
      <c r="E11" s="270"/>
      <c r="F11" s="270"/>
      <c r="G11" s="270"/>
      <c r="H11" s="271"/>
    </row>
    <row r="12" spans="1:8" ht="15.75">
      <c r="A12" s="3"/>
      <c r="B12" s="272" t="s">
        <v>29</v>
      </c>
      <c r="C12" s="272"/>
      <c r="D12" s="272"/>
      <c r="E12" s="272"/>
      <c r="F12" s="272"/>
      <c r="G12" s="272"/>
      <c r="H12" s="273"/>
    </row>
    <row r="13" spans="1:8" ht="15.75">
      <c r="A13" s="3"/>
      <c r="B13" s="272" t="s">
        <v>789</v>
      </c>
      <c r="C13" s="272"/>
      <c r="D13" s="272"/>
      <c r="E13" s="147"/>
      <c r="F13" s="147"/>
      <c r="G13" s="147"/>
      <c r="H13" s="148"/>
    </row>
    <row r="14" spans="1:8" ht="15.75">
      <c r="A14" s="4"/>
      <c r="B14" s="5" t="s">
        <v>887</v>
      </c>
      <c r="C14" s="5"/>
      <c r="D14" s="5"/>
      <c r="E14" s="268" t="s">
        <v>787</v>
      </c>
      <c r="F14" s="268"/>
      <c r="G14" s="268"/>
      <c r="H14" s="269"/>
    </row>
    <row r="15" spans="1:8" ht="25.5">
      <c r="A15" s="8" t="s">
        <v>0</v>
      </c>
      <c r="B15" s="9" t="s">
        <v>1</v>
      </c>
      <c r="C15" s="9" t="s">
        <v>2</v>
      </c>
      <c r="D15" s="8" t="s">
        <v>3</v>
      </c>
      <c r="E15" s="8" t="s">
        <v>4</v>
      </c>
      <c r="F15" s="8" t="s">
        <v>5</v>
      </c>
      <c r="G15" s="287" t="s">
        <v>772</v>
      </c>
      <c r="H15" s="288"/>
    </row>
    <row r="16" spans="1:8">
      <c r="A16" s="1"/>
      <c r="B16" s="1"/>
      <c r="C16" s="1"/>
      <c r="D16" s="1"/>
      <c r="E16" s="1"/>
      <c r="F16" s="1"/>
      <c r="G16" s="293"/>
      <c r="H16" s="294"/>
    </row>
    <row r="17" spans="1:8" ht="15.75">
      <c r="A17" s="12"/>
      <c r="B17" s="2"/>
      <c r="C17" s="2"/>
      <c r="D17" s="34"/>
      <c r="E17" s="2"/>
      <c r="F17" s="2"/>
      <c r="G17" s="289"/>
      <c r="H17" s="290"/>
    </row>
    <row r="18" spans="1:8" ht="30">
      <c r="A18" s="38" t="s">
        <v>27</v>
      </c>
      <c r="B18" s="2"/>
      <c r="C18" s="2"/>
      <c r="D18" s="27" t="s">
        <v>784</v>
      </c>
      <c r="E18" s="2"/>
      <c r="F18" s="2"/>
      <c r="G18" s="291"/>
      <c r="H18" s="292"/>
    </row>
    <row r="19" spans="1:8">
      <c r="A19" s="52"/>
      <c r="B19" s="11"/>
      <c r="C19" s="11"/>
      <c r="D19" s="11"/>
      <c r="E19" s="11"/>
      <c r="F19" s="11"/>
      <c r="G19" s="293"/>
      <c r="H19" s="294"/>
    </row>
    <row r="20" spans="1:8">
      <c r="A20" s="38">
        <v>1</v>
      </c>
      <c r="B20" s="2"/>
      <c r="C20" s="2"/>
      <c r="D20" s="10" t="s">
        <v>73</v>
      </c>
      <c r="E20" s="2"/>
      <c r="F20" s="2"/>
      <c r="G20" s="291"/>
      <c r="H20" s="292"/>
    </row>
    <row r="21" spans="1:8">
      <c r="A21" s="53" t="s">
        <v>9</v>
      </c>
      <c r="B21" s="53" t="s">
        <v>785</v>
      </c>
      <c r="C21" s="53" t="s">
        <v>352</v>
      </c>
      <c r="D21" s="31" t="s">
        <v>353</v>
      </c>
      <c r="E21" s="53" t="s">
        <v>16</v>
      </c>
      <c r="F21" s="54">
        <f>(3*1.5)+(1.5*1)</f>
        <v>6</v>
      </c>
      <c r="G21" s="281" t="s">
        <v>509</v>
      </c>
      <c r="H21" s="282"/>
    </row>
    <row r="22" spans="1:8">
      <c r="A22" s="53" t="s">
        <v>23</v>
      </c>
      <c r="B22" s="53" t="s">
        <v>785</v>
      </c>
      <c r="C22" s="53" t="s">
        <v>75</v>
      </c>
      <c r="D22" s="69" t="s">
        <v>76</v>
      </c>
      <c r="E22" s="53" t="s">
        <v>16</v>
      </c>
      <c r="F22" s="54">
        <f>12*13.375</f>
        <v>160.5</v>
      </c>
      <c r="G22" s="281" t="s">
        <v>825</v>
      </c>
      <c r="H22" s="282"/>
    </row>
    <row r="23" spans="1:8" ht="28.5">
      <c r="A23" s="53" t="s">
        <v>51</v>
      </c>
      <c r="B23" s="53" t="s">
        <v>785</v>
      </c>
      <c r="C23" s="53" t="s">
        <v>768</v>
      </c>
      <c r="D23" s="29" t="s">
        <v>769</v>
      </c>
      <c r="E23" s="53" t="s">
        <v>17</v>
      </c>
      <c r="F23" s="54">
        <f xml:space="preserve"> ((0.5*0.5*0.5*25)+(1.4*0.5*0.5*2))*1.3</f>
        <v>4.9725000000000001</v>
      </c>
      <c r="G23" s="281" t="s">
        <v>771</v>
      </c>
      <c r="H23" s="282"/>
    </row>
    <row r="24" spans="1:8">
      <c r="A24" s="52" t="s">
        <v>62</v>
      </c>
      <c r="B24" s="53" t="s">
        <v>785</v>
      </c>
      <c r="C24" s="6" t="s">
        <v>77</v>
      </c>
      <c r="D24" s="22" t="s">
        <v>78</v>
      </c>
      <c r="E24" s="6" t="s">
        <v>17</v>
      </c>
      <c r="F24" s="17">
        <f>(160.5*0.2)</f>
        <v>32.1</v>
      </c>
      <c r="G24" s="279" t="s">
        <v>510</v>
      </c>
      <c r="H24" s="280"/>
    </row>
    <row r="25" spans="1:8">
      <c r="A25" s="52" t="s">
        <v>354</v>
      </c>
      <c r="B25" s="53" t="s">
        <v>785</v>
      </c>
      <c r="C25" s="6" t="s">
        <v>79</v>
      </c>
      <c r="D25" s="11" t="s">
        <v>80</v>
      </c>
      <c r="E25" s="6" t="s">
        <v>16</v>
      </c>
      <c r="F25" s="17">
        <v>113.36</v>
      </c>
      <c r="G25" s="279" t="s">
        <v>601</v>
      </c>
      <c r="H25" s="280"/>
    </row>
    <row r="26" spans="1:8">
      <c r="A26" s="52" t="s">
        <v>767</v>
      </c>
      <c r="B26" s="53" t="s">
        <v>785</v>
      </c>
      <c r="C26" s="6" t="s">
        <v>81</v>
      </c>
      <c r="D26" s="22" t="s">
        <v>82</v>
      </c>
      <c r="E26" s="6" t="s">
        <v>83</v>
      </c>
      <c r="F26" s="17">
        <v>3</v>
      </c>
      <c r="G26" s="279" t="s">
        <v>602</v>
      </c>
      <c r="H26" s="280"/>
    </row>
    <row r="27" spans="1:8">
      <c r="A27" s="52"/>
      <c r="B27" s="6"/>
      <c r="C27" s="6"/>
      <c r="D27" s="71"/>
      <c r="E27" s="6"/>
      <c r="F27" s="17"/>
      <c r="G27" s="279"/>
      <c r="H27" s="280"/>
    </row>
    <row r="28" spans="1:8">
      <c r="A28" s="38">
        <v>2</v>
      </c>
      <c r="B28" s="7"/>
      <c r="C28" s="7"/>
      <c r="D28" s="10" t="s">
        <v>84</v>
      </c>
      <c r="E28" s="12"/>
      <c r="F28" s="12"/>
      <c r="G28" s="283"/>
      <c r="H28" s="284"/>
    </row>
    <row r="29" spans="1:8" ht="29.25">
      <c r="A29" s="52" t="s">
        <v>59</v>
      </c>
      <c r="B29" s="53" t="s">
        <v>785</v>
      </c>
      <c r="C29" s="6" t="s">
        <v>355</v>
      </c>
      <c r="D29" s="22" t="s">
        <v>356</v>
      </c>
      <c r="E29" s="6" t="s">
        <v>357</v>
      </c>
      <c r="F29" s="17">
        <v>1</v>
      </c>
      <c r="G29" s="285" t="s">
        <v>600</v>
      </c>
      <c r="H29" s="286"/>
    </row>
    <row r="30" spans="1:8">
      <c r="A30" s="52" t="s">
        <v>72</v>
      </c>
      <c r="B30" s="53" t="s">
        <v>785</v>
      </c>
      <c r="C30" s="6" t="s">
        <v>85</v>
      </c>
      <c r="D30" s="11" t="s">
        <v>86</v>
      </c>
      <c r="E30" s="6" t="s">
        <v>18</v>
      </c>
      <c r="F30" s="17">
        <f>(28*9)</f>
        <v>252</v>
      </c>
      <c r="G30" s="279" t="s">
        <v>511</v>
      </c>
      <c r="H30" s="280"/>
    </row>
    <row r="31" spans="1:8">
      <c r="A31" s="52" t="s">
        <v>89</v>
      </c>
      <c r="B31" s="53" t="s">
        <v>785</v>
      </c>
      <c r="C31" s="6" t="s">
        <v>87</v>
      </c>
      <c r="D31" s="22" t="s">
        <v>88</v>
      </c>
      <c r="E31" s="6" t="s">
        <v>17</v>
      </c>
      <c r="F31" s="17">
        <f>0.049*9*28</f>
        <v>12.348000000000001</v>
      </c>
      <c r="G31" s="279" t="s">
        <v>512</v>
      </c>
      <c r="H31" s="280"/>
    </row>
    <row r="32" spans="1:8">
      <c r="A32" s="52" t="s">
        <v>92</v>
      </c>
      <c r="B32" s="53" t="s">
        <v>785</v>
      </c>
      <c r="C32" s="6" t="s">
        <v>90</v>
      </c>
      <c r="D32" s="22" t="s">
        <v>358</v>
      </c>
      <c r="E32" s="6" t="s">
        <v>17</v>
      </c>
      <c r="F32" s="17">
        <f>(0.2*0.3*78.32)</f>
        <v>4.6991999999999994</v>
      </c>
      <c r="G32" s="279" t="s">
        <v>513</v>
      </c>
      <c r="H32" s="280"/>
    </row>
    <row r="33" spans="1:8">
      <c r="A33" s="52" t="s">
        <v>95</v>
      </c>
      <c r="B33" s="53" t="s">
        <v>785</v>
      </c>
      <c r="C33" s="6" t="s">
        <v>140</v>
      </c>
      <c r="D33" s="22" t="s">
        <v>490</v>
      </c>
      <c r="E33" s="6" t="s">
        <v>17</v>
      </c>
      <c r="F33" s="17">
        <f>F32</f>
        <v>4.6991999999999994</v>
      </c>
      <c r="G33" s="279" t="s">
        <v>513</v>
      </c>
      <c r="H33" s="280"/>
    </row>
    <row r="34" spans="1:8">
      <c r="A34" s="52" t="s">
        <v>99</v>
      </c>
      <c r="B34" s="53" t="s">
        <v>785</v>
      </c>
      <c r="C34" s="6" t="s">
        <v>96</v>
      </c>
      <c r="D34" s="22" t="s">
        <v>97</v>
      </c>
      <c r="E34" s="6" t="s">
        <v>98</v>
      </c>
      <c r="F34" s="17">
        <f>F32*80*0.8</f>
        <v>300.74879999999996</v>
      </c>
      <c r="G34" s="279" t="s">
        <v>514</v>
      </c>
      <c r="H34" s="280"/>
    </row>
    <row r="35" spans="1:8">
      <c r="A35" s="52" t="s">
        <v>359</v>
      </c>
      <c r="B35" s="53" t="s">
        <v>785</v>
      </c>
      <c r="C35" s="6" t="s">
        <v>100</v>
      </c>
      <c r="D35" s="22" t="s">
        <v>101</v>
      </c>
      <c r="E35" s="6" t="s">
        <v>98</v>
      </c>
      <c r="F35" s="17">
        <f>F32*80*0.2</f>
        <v>75.18719999999999</v>
      </c>
      <c r="G35" s="279" t="s">
        <v>515</v>
      </c>
      <c r="H35" s="280"/>
    </row>
    <row r="36" spans="1:8">
      <c r="A36" s="52" t="s">
        <v>104</v>
      </c>
      <c r="B36" s="53" t="s">
        <v>785</v>
      </c>
      <c r="C36" s="6" t="s">
        <v>102</v>
      </c>
      <c r="D36" s="22" t="s">
        <v>151</v>
      </c>
      <c r="E36" s="6" t="s">
        <v>16</v>
      </c>
      <c r="F36" s="17">
        <f>78.32*0.5</f>
        <v>39.159999999999997</v>
      </c>
      <c r="G36" s="279" t="s">
        <v>826</v>
      </c>
      <c r="H36" s="280"/>
    </row>
    <row r="37" spans="1:8">
      <c r="A37" s="52" t="s">
        <v>106</v>
      </c>
      <c r="B37" s="53" t="s">
        <v>785</v>
      </c>
      <c r="C37" s="6" t="s">
        <v>90</v>
      </c>
      <c r="D37" s="22" t="s">
        <v>105</v>
      </c>
      <c r="E37" s="6" t="s">
        <v>17</v>
      </c>
      <c r="F37" s="17">
        <f>(0.5*0.5*0.5*25)+(1.4*0.5*0.5*2)</f>
        <v>3.8250000000000002</v>
      </c>
      <c r="G37" s="279" t="s">
        <v>516</v>
      </c>
      <c r="H37" s="280"/>
    </row>
    <row r="38" spans="1:8" ht="29.25">
      <c r="A38" s="52" t="s">
        <v>108</v>
      </c>
      <c r="B38" s="53" t="s">
        <v>785</v>
      </c>
      <c r="C38" s="6" t="s">
        <v>93</v>
      </c>
      <c r="D38" s="22" t="s">
        <v>107</v>
      </c>
      <c r="E38" s="6" t="s">
        <v>17</v>
      </c>
      <c r="F38" s="17">
        <f>F37</f>
        <v>3.8250000000000002</v>
      </c>
      <c r="G38" s="279" t="s">
        <v>516</v>
      </c>
      <c r="H38" s="280"/>
    </row>
    <row r="39" spans="1:8">
      <c r="A39" s="52" t="s">
        <v>110</v>
      </c>
      <c r="B39" s="53" t="s">
        <v>785</v>
      </c>
      <c r="C39" s="6" t="s">
        <v>96</v>
      </c>
      <c r="D39" s="22" t="s">
        <v>109</v>
      </c>
      <c r="E39" s="6" t="s">
        <v>98</v>
      </c>
      <c r="F39" s="17">
        <f>3.83*80*0.8</f>
        <v>245.12</v>
      </c>
      <c r="G39" s="279" t="s">
        <v>517</v>
      </c>
      <c r="H39" s="280"/>
    </row>
    <row r="40" spans="1:8">
      <c r="A40" s="52" t="s">
        <v>112</v>
      </c>
      <c r="B40" s="53" t="s">
        <v>785</v>
      </c>
      <c r="C40" s="6" t="s">
        <v>100</v>
      </c>
      <c r="D40" s="22" t="s">
        <v>111</v>
      </c>
      <c r="E40" s="6" t="s">
        <v>98</v>
      </c>
      <c r="F40" s="17">
        <f>3.83*80*0.2</f>
        <v>61.28</v>
      </c>
      <c r="G40" s="279" t="s">
        <v>518</v>
      </c>
      <c r="H40" s="280"/>
    </row>
    <row r="41" spans="1:8">
      <c r="A41" s="52" t="s">
        <v>115</v>
      </c>
      <c r="B41" s="53" t="s">
        <v>785</v>
      </c>
      <c r="C41" s="6" t="s">
        <v>113</v>
      </c>
      <c r="D41" s="22" t="s">
        <v>114</v>
      </c>
      <c r="E41" s="6" t="s">
        <v>17</v>
      </c>
      <c r="F41" s="17">
        <f>(0.2*78.32*0.03)+(0.5*0.5*25*0.03)+(1.4*0.5*2*0.03)</f>
        <v>0.69941999999999993</v>
      </c>
      <c r="G41" s="295" t="s">
        <v>519</v>
      </c>
      <c r="H41" s="296"/>
    </row>
    <row r="42" spans="1:8">
      <c r="A42" s="52" t="s">
        <v>118</v>
      </c>
      <c r="B42" s="53" t="s">
        <v>785</v>
      </c>
      <c r="C42" s="6" t="s">
        <v>122</v>
      </c>
      <c r="D42" s="22" t="s">
        <v>123</v>
      </c>
      <c r="E42" s="6" t="s">
        <v>16</v>
      </c>
      <c r="F42" s="17">
        <f>(0.5*0.5*4)*14</f>
        <v>14</v>
      </c>
      <c r="G42" s="279" t="s">
        <v>520</v>
      </c>
      <c r="H42" s="280"/>
    </row>
    <row r="43" spans="1:8" ht="29.25">
      <c r="A43" s="52" t="s">
        <v>121</v>
      </c>
      <c r="B43" s="53" t="s">
        <v>785</v>
      </c>
      <c r="C43" s="6" t="s">
        <v>116</v>
      </c>
      <c r="D43" s="22" t="s">
        <v>791</v>
      </c>
      <c r="E43" s="6" t="s">
        <v>16</v>
      </c>
      <c r="F43" s="17">
        <f>78.32*0.8</f>
        <v>62.655999999999999</v>
      </c>
      <c r="G43" s="279" t="s">
        <v>522</v>
      </c>
      <c r="H43" s="280"/>
    </row>
    <row r="44" spans="1:8">
      <c r="A44" s="52" t="s">
        <v>360</v>
      </c>
      <c r="B44" s="53" t="s">
        <v>785</v>
      </c>
      <c r="C44" s="6" t="s">
        <v>119</v>
      </c>
      <c r="D44" s="22" t="s">
        <v>120</v>
      </c>
      <c r="E44" s="6" t="s">
        <v>17</v>
      </c>
      <c r="F44" s="17">
        <f>F43*0.015</f>
        <v>0.9398399999999999</v>
      </c>
      <c r="G44" s="279" t="s">
        <v>521</v>
      </c>
      <c r="H44" s="280"/>
    </row>
    <row r="45" spans="1:8">
      <c r="A45" s="52"/>
      <c r="B45" s="6"/>
      <c r="C45" s="89"/>
      <c r="D45" s="71"/>
      <c r="E45" s="6"/>
      <c r="F45" s="17"/>
      <c r="G45" s="279"/>
      <c r="H45" s="280"/>
    </row>
    <row r="46" spans="1:8">
      <c r="A46" s="38">
        <v>3</v>
      </c>
      <c r="B46" s="7"/>
      <c r="C46" s="7"/>
      <c r="D46" s="10" t="s">
        <v>125</v>
      </c>
      <c r="E46" s="12"/>
      <c r="F46" s="12"/>
      <c r="G46" s="283"/>
      <c r="H46" s="284"/>
    </row>
    <row r="47" spans="1:8">
      <c r="A47" s="52" t="s">
        <v>10</v>
      </c>
      <c r="B47" s="53" t="s">
        <v>785</v>
      </c>
      <c r="C47" s="6" t="s">
        <v>90</v>
      </c>
      <c r="D47" s="22" t="s">
        <v>126</v>
      </c>
      <c r="E47" s="6" t="s">
        <v>17</v>
      </c>
      <c r="F47" s="17">
        <f>(0.15*0.25*3*22)+(0.15*0.25*3*4)</f>
        <v>2.9249999999999998</v>
      </c>
      <c r="G47" s="279" t="s">
        <v>523</v>
      </c>
      <c r="H47" s="280"/>
    </row>
    <row r="48" spans="1:8">
      <c r="A48" s="52" t="s">
        <v>127</v>
      </c>
      <c r="B48" s="53" t="s">
        <v>785</v>
      </c>
      <c r="C48" s="6" t="s">
        <v>96</v>
      </c>
      <c r="D48" s="73" t="s">
        <v>128</v>
      </c>
      <c r="E48" s="6" t="s">
        <v>98</v>
      </c>
      <c r="F48" s="17">
        <f>ROUND(F47*80*0.8,2)</f>
        <v>187.2</v>
      </c>
      <c r="G48" s="279" t="s">
        <v>827</v>
      </c>
      <c r="H48" s="280"/>
    </row>
    <row r="49" spans="1:8">
      <c r="A49" s="52" t="s">
        <v>129</v>
      </c>
      <c r="B49" s="53" t="s">
        <v>785</v>
      </c>
      <c r="C49" s="6" t="s">
        <v>100</v>
      </c>
      <c r="D49" s="73" t="s">
        <v>130</v>
      </c>
      <c r="E49" s="6" t="s">
        <v>98</v>
      </c>
      <c r="F49" s="17">
        <f>F47*80*0.2</f>
        <v>46.800000000000004</v>
      </c>
      <c r="G49" s="279" t="s">
        <v>828</v>
      </c>
      <c r="H49" s="280"/>
    </row>
    <row r="50" spans="1:8" ht="29.25">
      <c r="A50" s="52" t="s">
        <v>131</v>
      </c>
      <c r="B50" s="53" t="s">
        <v>785</v>
      </c>
      <c r="C50" s="6" t="s">
        <v>90</v>
      </c>
      <c r="D50" s="22" t="s">
        <v>361</v>
      </c>
      <c r="E50" s="6" t="s">
        <v>17</v>
      </c>
      <c r="F50" s="17">
        <f>(0.15*0.3*65.32)</f>
        <v>2.9393999999999996</v>
      </c>
      <c r="G50" s="279" t="s">
        <v>524</v>
      </c>
      <c r="H50" s="280"/>
    </row>
    <row r="51" spans="1:8">
      <c r="A51" s="52" t="s">
        <v>133</v>
      </c>
      <c r="B51" s="53" t="s">
        <v>785</v>
      </c>
      <c r="C51" s="6" t="s">
        <v>96</v>
      </c>
      <c r="D51" s="73" t="s">
        <v>136</v>
      </c>
      <c r="E51" s="6" t="s">
        <v>98</v>
      </c>
      <c r="F51" s="17">
        <f>F50*80*0.8</f>
        <v>188.12159999999997</v>
      </c>
      <c r="G51" s="279" t="s">
        <v>829</v>
      </c>
      <c r="H51" s="280"/>
    </row>
    <row r="52" spans="1:8">
      <c r="A52" s="52" t="s">
        <v>135</v>
      </c>
      <c r="B52" s="53" t="s">
        <v>785</v>
      </c>
      <c r="C52" s="6" t="s">
        <v>100</v>
      </c>
      <c r="D52" s="73" t="s">
        <v>138</v>
      </c>
      <c r="E52" s="6" t="s">
        <v>98</v>
      </c>
      <c r="F52" s="17">
        <f>F50*80*0.2</f>
        <v>47.030399999999993</v>
      </c>
      <c r="G52" s="279" t="s">
        <v>830</v>
      </c>
      <c r="H52" s="280"/>
    </row>
    <row r="53" spans="1:8">
      <c r="A53" s="52" t="s">
        <v>137</v>
      </c>
      <c r="B53" s="53" t="s">
        <v>785</v>
      </c>
      <c r="C53" s="6" t="s">
        <v>143</v>
      </c>
      <c r="D53" s="22" t="s">
        <v>144</v>
      </c>
      <c r="E53" s="6" t="s">
        <v>17</v>
      </c>
      <c r="F53" s="17">
        <f>(43.42*0.2*0.15)</f>
        <v>1.3026000000000002</v>
      </c>
      <c r="G53" s="279" t="s">
        <v>525</v>
      </c>
      <c r="H53" s="280"/>
    </row>
    <row r="54" spans="1:8" ht="29.25">
      <c r="A54" s="52" t="s">
        <v>139</v>
      </c>
      <c r="B54" s="53" t="s">
        <v>785</v>
      </c>
      <c r="C54" s="6" t="s">
        <v>774</v>
      </c>
      <c r="D54" s="73" t="s">
        <v>773</v>
      </c>
      <c r="E54" s="6" t="s">
        <v>16</v>
      </c>
      <c r="F54" s="17">
        <f>134.02</f>
        <v>134.02000000000001</v>
      </c>
      <c r="G54" s="279" t="s">
        <v>831</v>
      </c>
      <c r="H54" s="280"/>
    </row>
    <row r="55" spans="1:8">
      <c r="A55" s="52" t="s">
        <v>142</v>
      </c>
      <c r="B55" s="53" t="s">
        <v>785</v>
      </c>
      <c r="C55" s="6" t="s">
        <v>148</v>
      </c>
      <c r="D55" s="22" t="s">
        <v>149</v>
      </c>
      <c r="E55" s="6" t="s">
        <v>17</v>
      </c>
      <c r="F55" s="17">
        <f>98.61*0.05</f>
        <v>4.9305000000000003</v>
      </c>
      <c r="G55" s="279" t="s">
        <v>526</v>
      </c>
      <c r="H55" s="280"/>
    </row>
    <row r="56" spans="1:8">
      <c r="A56" s="52" t="s">
        <v>145</v>
      </c>
      <c r="B56" s="53" t="s">
        <v>785</v>
      </c>
      <c r="C56" s="6" t="s">
        <v>102</v>
      </c>
      <c r="D56" s="22" t="s">
        <v>151</v>
      </c>
      <c r="E56" s="6" t="s">
        <v>16</v>
      </c>
      <c r="F56" s="17">
        <f>(0.25*2*65.32)+(0.25*2*3*28)</f>
        <v>74.66</v>
      </c>
      <c r="G56" s="279" t="s">
        <v>527</v>
      </c>
      <c r="H56" s="280"/>
    </row>
    <row r="57" spans="1:8">
      <c r="A57" s="52" t="s">
        <v>146</v>
      </c>
      <c r="B57" s="53" t="s">
        <v>785</v>
      </c>
      <c r="C57" s="6" t="s">
        <v>140</v>
      </c>
      <c r="D57" s="22" t="s">
        <v>362</v>
      </c>
      <c r="E57" s="6" t="s">
        <v>17</v>
      </c>
      <c r="F57" s="17">
        <f>F47+F50+F55</f>
        <v>10.7949</v>
      </c>
      <c r="G57" s="279" t="s">
        <v>528</v>
      </c>
      <c r="H57" s="280"/>
    </row>
    <row r="58" spans="1:8">
      <c r="A58" s="52"/>
      <c r="B58" s="6"/>
      <c r="C58" s="6"/>
      <c r="D58" s="23" t="s">
        <v>22</v>
      </c>
      <c r="E58" s="6"/>
      <c r="F58" s="17"/>
      <c r="G58" s="279"/>
      <c r="H58" s="280"/>
    </row>
    <row r="59" spans="1:8">
      <c r="A59" s="38">
        <v>4</v>
      </c>
      <c r="B59" s="7"/>
      <c r="C59" s="7"/>
      <c r="D59" s="10" t="s">
        <v>155</v>
      </c>
      <c r="E59" s="12"/>
      <c r="F59" s="12"/>
      <c r="G59" s="283"/>
      <c r="H59" s="284"/>
    </row>
    <row r="60" spans="1:8">
      <c r="A60" s="52" t="s">
        <v>11</v>
      </c>
      <c r="B60" s="53" t="s">
        <v>785</v>
      </c>
      <c r="C60" s="6" t="s">
        <v>156</v>
      </c>
      <c r="D60" s="73" t="s">
        <v>157</v>
      </c>
      <c r="E60" s="6" t="s">
        <v>17</v>
      </c>
      <c r="F60" s="17">
        <f>(78.32*0.15*0.2)*1.3</f>
        <v>3.0544800000000003</v>
      </c>
      <c r="G60" s="279" t="s">
        <v>529</v>
      </c>
      <c r="H60" s="280"/>
    </row>
    <row r="61" spans="1:8">
      <c r="A61" s="52" t="s">
        <v>12</v>
      </c>
      <c r="B61" s="53" t="s">
        <v>785</v>
      </c>
      <c r="C61" s="6" t="s">
        <v>158</v>
      </c>
      <c r="D61" s="73" t="s">
        <v>159</v>
      </c>
      <c r="E61" s="6" t="s">
        <v>16</v>
      </c>
      <c r="F61" s="17">
        <f>(75.21*2.6)</f>
        <v>195.54599999999999</v>
      </c>
      <c r="G61" s="279" t="s">
        <v>530</v>
      </c>
      <c r="H61" s="280"/>
    </row>
    <row r="62" spans="1:8">
      <c r="A62" s="52" t="s">
        <v>160</v>
      </c>
      <c r="B62" s="53" t="s">
        <v>785</v>
      </c>
      <c r="C62" s="6" t="s">
        <v>492</v>
      </c>
      <c r="D62" s="73" t="s">
        <v>491</v>
      </c>
      <c r="E62" s="6" t="s">
        <v>16</v>
      </c>
      <c r="F62" s="17">
        <f>18.88*2.5</f>
        <v>47.199999999999996</v>
      </c>
      <c r="G62" s="279" t="s">
        <v>531</v>
      </c>
      <c r="H62" s="280"/>
    </row>
    <row r="63" spans="1:8">
      <c r="A63" s="52"/>
      <c r="B63" s="6"/>
      <c r="C63" s="6"/>
      <c r="D63" s="74" t="s">
        <v>163</v>
      </c>
      <c r="E63" s="6"/>
      <c r="F63" s="17"/>
      <c r="G63" s="279"/>
      <c r="H63" s="280"/>
    </row>
    <row r="64" spans="1:8">
      <c r="A64" s="38">
        <v>5</v>
      </c>
      <c r="B64" s="7"/>
      <c r="C64" s="12"/>
      <c r="D64" s="10" t="s">
        <v>164</v>
      </c>
      <c r="E64" s="12"/>
      <c r="F64" s="12"/>
      <c r="G64" s="283"/>
      <c r="H64" s="284"/>
    </row>
    <row r="65" spans="1:8">
      <c r="A65" s="52" t="s">
        <v>13</v>
      </c>
      <c r="B65" s="53" t="s">
        <v>785</v>
      </c>
      <c r="C65" s="6" t="s">
        <v>66</v>
      </c>
      <c r="D65" s="73" t="s">
        <v>65</v>
      </c>
      <c r="E65" s="6" t="s">
        <v>16</v>
      </c>
      <c r="F65" s="17">
        <f>122.94*1.077</f>
        <v>132.40637999999998</v>
      </c>
      <c r="G65" s="279" t="s">
        <v>532</v>
      </c>
      <c r="H65" s="280"/>
    </row>
    <row r="66" spans="1:8">
      <c r="A66" s="52" t="s">
        <v>14</v>
      </c>
      <c r="B66" s="53" t="s">
        <v>785</v>
      </c>
      <c r="C66" s="6" t="s">
        <v>165</v>
      </c>
      <c r="D66" s="73" t="s">
        <v>166</v>
      </c>
      <c r="E66" s="6" t="s">
        <v>16</v>
      </c>
      <c r="F66" s="17">
        <f>122.94*1.077</f>
        <v>132.40637999999998</v>
      </c>
      <c r="G66" s="279" t="s">
        <v>533</v>
      </c>
      <c r="H66" s="280"/>
    </row>
    <row r="67" spans="1:8">
      <c r="A67" s="52" t="s">
        <v>15</v>
      </c>
      <c r="B67" s="53" t="s">
        <v>785</v>
      </c>
      <c r="C67" s="6" t="s">
        <v>167</v>
      </c>
      <c r="D67" s="73" t="s">
        <v>168</v>
      </c>
      <c r="E67" s="6" t="s">
        <v>18</v>
      </c>
      <c r="F67" s="17">
        <f>(6.82*2)+3.13</f>
        <v>16.77</v>
      </c>
      <c r="G67" s="279" t="s">
        <v>534</v>
      </c>
      <c r="H67" s="280"/>
    </row>
    <row r="68" spans="1:8">
      <c r="A68" s="52" t="s">
        <v>24</v>
      </c>
      <c r="B68" s="53" t="s">
        <v>785</v>
      </c>
      <c r="C68" s="6" t="s">
        <v>776</v>
      </c>
      <c r="D68" s="73" t="s">
        <v>775</v>
      </c>
      <c r="E68" s="6" t="s">
        <v>16</v>
      </c>
      <c r="F68" s="17">
        <f>((2.205+4.492)/2*2.2)*2</f>
        <v>14.733400000000001</v>
      </c>
      <c r="G68" s="285" t="s">
        <v>832</v>
      </c>
      <c r="H68" s="286"/>
    </row>
    <row r="69" spans="1:8">
      <c r="A69" s="52" t="s">
        <v>25</v>
      </c>
      <c r="B69" s="53" t="s">
        <v>785</v>
      </c>
      <c r="C69" s="6" t="s">
        <v>363</v>
      </c>
      <c r="D69" s="81" t="s">
        <v>364</v>
      </c>
      <c r="E69" s="6" t="s">
        <v>16</v>
      </c>
      <c r="F69" s="17">
        <v>14.73</v>
      </c>
      <c r="G69" s="279" t="s">
        <v>832</v>
      </c>
      <c r="H69" s="280"/>
    </row>
    <row r="70" spans="1:8">
      <c r="A70" s="52" t="s">
        <v>26</v>
      </c>
      <c r="B70" s="53" t="s">
        <v>785</v>
      </c>
      <c r="C70" s="6" t="s">
        <v>365</v>
      </c>
      <c r="D70" s="22" t="s">
        <v>366</v>
      </c>
      <c r="E70" s="6" t="s">
        <v>18</v>
      </c>
      <c r="F70" s="17">
        <f>4.38*2</f>
        <v>8.76</v>
      </c>
      <c r="G70" s="279" t="s">
        <v>535</v>
      </c>
      <c r="H70" s="280"/>
    </row>
    <row r="71" spans="1:8">
      <c r="A71" s="52" t="s">
        <v>367</v>
      </c>
      <c r="B71" s="53" t="s">
        <v>785</v>
      </c>
      <c r="C71" s="6" t="s">
        <v>368</v>
      </c>
      <c r="D71" s="22" t="s">
        <v>369</v>
      </c>
      <c r="E71" s="6" t="s">
        <v>18</v>
      </c>
      <c r="F71" s="17">
        <f>4.64+4.4+4.6+4.62+14.2+9.28+5.1</f>
        <v>46.839999999999996</v>
      </c>
      <c r="G71" s="279" t="s">
        <v>536</v>
      </c>
      <c r="H71" s="280"/>
    </row>
    <row r="72" spans="1:8">
      <c r="A72" s="52"/>
      <c r="B72" s="6"/>
      <c r="C72" s="6"/>
      <c r="D72" s="23" t="s">
        <v>169</v>
      </c>
      <c r="E72" s="6"/>
      <c r="F72" s="17"/>
      <c r="G72" s="279"/>
      <c r="H72" s="280"/>
    </row>
    <row r="73" spans="1:8">
      <c r="A73" s="38">
        <v>6</v>
      </c>
      <c r="B73" s="7"/>
      <c r="C73" s="12"/>
      <c r="D73" s="10" t="s">
        <v>170</v>
      </c>
      <c r="E73" s="12"/>
      <c r="F73" s="12"/>
      <c r="G73" s="283"/>
      <c r="H73" s="284"/>
    </row>
    <row r="74" spans="1:8">
      <c r="A74" s="52" t="s">
        <v>33</v>
      </c>
      <c r="B74" s="53" t="s">
        <v>785</v>
      </c>
      <c r="C74" s="6" t="s">
        <v>370</v>
      </c>
      <c r="D74" s="73" t="s">
        <v>371</v>
      </c>
      <c r="E74" s="6" t="s">
        <v>18</v>
      </c>
      <c r="F74" s="17">
        <f>(30.65*2)+12.86</f>
        <v>74.16</v>
      </c>
      <c r="G74" s="279" t="s">
        <v>537</v>
      </c>
      <c r="H74" s="280"/>
    </row>
    <row r="75" spans="1:8" ht="29.25">
      <c r="A75" s="52" t="s">
        <v>34</v>
      </c>
      <c r="B75" s="53" t="s">
        <v>785</v>
      </c>
      <c r="C75" s="6" t="s">
        <v>372</v>
      </c>
      <c r="D75" s="73" t="s">
        <v>373</v>
      </c>
      <c r="E75" s="6" t="s">
        <v>16</v>
      </c>
      <c r="F75" s="17">
        <f>(4.5*0.6*2)+(2*0.6*2)+(3.2*0.6)+(2.55*0.6)</f>
        <v>11.249999999999998</v>
      </c>
      <c r="G75" s="295" t="s">
        <v>538</v>
      </c>
      <c r="H75" s="296"/>
    </row>
    <row r="76" spans="1:8">
      <c r="A76" s="52"/>
      <c r="B76" s="6"/>
      <c r="C76" s="6"/>
      <c r="D76" s="71" t="s">
        <v>175</v>
      </c>
      <c r="E76" s="6"/>
      <c r="F76" s="17"/>
      <c r="G76" s="279"/>
      <c r="H76" s="280"/>
    </row>
    <row r="77" spans="1:8">
      <c r="A77" s="38">
        <v>7</v>
      </c>
      <c r="B77" s="12"/>
      <c r="C77" s="12"/>
      <c r="D77" s="10" t="s">
        <v>176</v>
      </c>
      <c r="E77" s="12"/>
      <c r="F77" s="12"/>
      <c r="G77" s="283"/>
      <c r="H77" s="284"/>
    </row>
    <row r="78" spans="1:8">
      <c r="A78" s="52" t="s">
        <v>177</v>
      </c>
      <c r="B78" s="53" t="s">
        <v>785</v>
      </c>
      <c r="C78" s="6" t="s">
        <v>178</v>
      </c>
      <c r="D78" s="11" t="s">
        <v>179</v>
      </c>
      <c r="E78" s="6" t="s">
        <v>16</v>
      </c>
      <c r="F78" s="17">
        <f>(75.21*2*3)+(18.9*2.8)+(140.61)</f>
        <v>644.79</v>
      </c>
      <c r="G78" s="279" t="s">
        <v>539</v>
      </c>
      <c r="H78" s="280"/>
    </row>
    <row r="79" spans="1:8">
      <c r="A79" s="52" t="s">
        <v>180</v>
      </c>
      <c r="B79" s="53" t="s">
        <v>785</v>
      </c>
      <c r="C79" s="6" t="s">
        <v>181</v>
      </c>
      <c r="D79" s="21" t="s">
        <v>182</v>
      </c>
      <c r="E79" s="6" t="s">
        <v>16</v>
      </c>
      <c r="F79" s="17">
        <f>F78</f>
        <v>644.79</v>
      </c>
      <c r="G79" s="279" t="s">
        <v>539</v>
      </c>
      <c r="H79" s="280"/>
    </row>
    <row r="80" spans="1:8" ht="29.25">
      <c r="A80" s="52" t="s">
        <v>183</v>
      </c>
      <c r="B80" s="53" t="s">
        <v>785</v>
      </c>
      <c r="C80" s="6" t="s">
        <v>374</v>
      </c>
      <c r="D80" s="73" t="s">
        <v>375</v>
      </c>
      <c r="E80" s="6" t="s">
        <v>16</v>
      </c>
      <c r="F80" s="17">
        <f>(89.11*2)</f>
        <v>178.22</v>
      </c>
      <c r="G80" s="279" t="s">
        <v>540</v>
      </c>
      <c r="H80" s="280"/>
    </row>
    <row r="81" spans="1:8">
      <c r="A81" s="52" t="s">
        <v>186</v>
      </c>
      <c r="B81" s="53" t="s">
        <v>785</v>
      </c>
      <c r="C81" s="6" t="s">
        <v>187</v>
      </c>
      <c r="D81" s="75" t="s">
        <v>188</v>
      </c>
      <c r="E81" s="6" t="s">
        <v>16</v>
      </c>
      <c r="F81" s="17">
        <f>49.15*1</f>
        <v>49.15</v>
      </c>
      <c r="G81" s="279" t="s">
        <v>541</v>
      </c>
      <c r="H81" s="280"/>
    </row>
    <row r="82" spans="1:8" ht="29.25">
      <c r="A82" s="52" t="s">
        <v>189</v>
      </c>
      <c r="B82" s="53" t="s">
        <v>785</v>
      </c>
      <c r="C82" s="6" t="s">
        <v>190</v>
      </c>
      <c r="D82" s="75" t="s">
        <v>792</v>
      </c>
      <c r="E82" s="6" t="s">
        <v>16</v>
      </c>
      <c r="F82" s="17">
        <f>F81</f>
        <v>49.15</v>
      </c>
      <c r="G82" s="279" t="s">
        <v>541</v>
      </c>
      <c r="H82" s="280"/>
    </row>
    <row r="83" spans="1:8">
      <c r="A83" s="52"/>
      <c r="B83" s="6"/>
      <c r="C83" s="6"/>
      <c r="D83" s="90"/>
      <c r="E83" s="6"/>
      <c r="F83" s="17"/>
      <c r="G83" s="279"/>
      <c r="H83" s="280"/>
    </row>
    <row r="84" spans="1:8">
      <c r="A84" s="38">
        <v>8</v>
      </c>
      <c r="B84" s="12"/>
      <c r="C84" s="12"/>
      <c r="D84" s="10" t="s">
        <v>193</v>
      </c>
      <c r="E84" s="12"/>
      <c r="F84" s="18"/>
      <c r="G84" s="283"/>
      <c r="H84" s="284"/>
    </row>
    <row r="85" spans="1:8" ht="43.5">
      <c r="A85" s="52" t="s">
        <v>194</v>
      </c>
      <c r="B85" s="53" t="s">
        <v>785</v>
      </c>
      <c r="C85" s="6" t="s">
        <v>495</v>
      </c>
      <c r="D85" s="73" t="s">
        <v>494</v>
      </c>
      <c r="E85" s="6" t="s">
        <v>16</v>
      </c>
      <c r="F85" s="17">
        <f>(10.35+11.95)+(3.54*2)+(36.38*2)</f>
        <v>102.14</v>
      </c>
      <c r="G85" s="279" t="s">
        <v>542</v>
      </c>
      <c r="H85" s="280"/>
    </row>
    <row r="86" spans="1:8" ht="43.5">
      <c r="A86" s="52" t="s">
        <v>377</v>
      </c>
      <c r="B86" s="53" t="s">
        <v>785</v>
      </c>
      <c r="C86" s="6" t="s">
        <v>497</v>
      </c>
      <c r="D86" s="22" t="s">
        <v>496</v>
      </c>
      <c r="E86" s="6" t="s">
        <v>18</v>
      </c>
      <c r="F86" s="17">
        <f>(1.7*2)+(3.85*2)+(2.2*2)</f>
        <v>15.5</v>
      </c>
      <c r="G86" s="279" t="s">
        <v>543</v>
      </c>
      <c r="H86" s="280"/>
    </row>
    <row r="87" spans="1:8">
      <c r="A87" s="52"/>
      <c r="B87" s="6"/>
      <c r="C87" s="6"/>
      <c r="D87" s="23"/>
      <c r="E87" s="6"/>
      <c r="F87" s="17"/>
      <c r="G87" s="279"/>
      <c r="H87" s="280"/>
    </row>
    <row r="88" spans="1:8">
      <c r="A88" s="38">
        <v>9</v>
      </c>
      <c r="B88" s="12"/>
      <c r="C88" s="12"/>
      <c r="D88" s="10" t="s">
        <v>199</v>
      </c>
      <c r="E88" s="12"/>
      <c r="F88" s="12"/>
      <c r="G88" s="283"/>
      <c r="H88" s="284"/>
    </row>
    <row r="89" spans="1:8" ht="29.25">
      <c r="A89" s="52" t="s">
        <v>378</v>
      </c>
      <c r="B89" s="53" t="s">
        <v>785</v>
      </c>
      <c r="C89" s="6" t="s">
        <v>201</v>
      </c>
      <c r="D89" s="73" t="s">
        <v>202</v>
      </c>
      <c r="E89" s="6" t="s">
        <v>16</v>
      </c>
      <c r="F89" s="17">
        <f>(13.915*2)+(9.57*2)</f>
        <v>46.97</v>
      </c>
      <c r="G89" s="279" t="s">
        <v>833</v>
      </c>
      <c r="H89" s="280"/>
    </row>
    <row r="90" spans="1:8" ht="43.5">
      <c r="A90" s="52" t="s">
        <v>200</v>
      </c>
      <c r="B90" s="53" t="s">
        <v>785</v>
      </c>
      <c r="C90" s="6" t="s">
        <v>376</v>
      </c>
      <c r="D90" s="73" t="s">
        <v>493</v>
      </c>
      <c r="E90" s="6" t="s">
        <v>16</v>
      </c>
      <c r="F90" s="17">
        <v>8.24</v>
      </c>
      <c r="G90" s="279" t="s">
        <v>544</v>
      </c>
      <c r="H90" s="280"/>
    </row>
    <row r="91" spans="1:8">
      <c r="A91" s="52"/>
      <c r="B91" s="6"/>
      <c r="C91" s="6"/>
      <c r="D91" s="71"/>
      <c r="E91" s="6"/>
      <c r="F91" s="17"/>
      <c r="G91" s="279"/>
      <c r="H91" s="280"/>
    </row>
    <row r="92" spans="1:8">
      <c r="A92" s="38">
        <v>10</v>
      </c>
      <c r="B92" s="12"/>
      <c r="C92" s="12"/>
      <c r="D92" s="10" t="s">
        <v>203</v>
      </c>
      <c r="E92" s="12"/>
      <c r="F92" s="12"/>
      <c r="G92" s="283"/>
      <c r="H92" s="284"/>
    </row>
    <row r="93" spans="1:8" ht="43.5">
      <c r="A93" s="52" t="s">
        <v>204</v>
      </c>
      <c r="B93" s="53" t="s">
        <v>785</v>
      </c>
      <c r="C93" s="6" t="s">
        <v>379</v>
      </c>
      <c r="D93" s="73" t="s">
        <v>380</v>
      </c>
      <c r="E93" s="6" t="s">
        <v>37</v>
      </c>
      <c r="F93" s="17">
        <v>2</v>
      </c>
      <c r="G93" s="277" t="s">
        <v>599</v>
      </c>
      <c r="H93" s="278"/>
    </row>
    <row r="94" spans="1:8" ht="29.25">
      <c r="A94" s="52" t="s">
        <v>207</v>
      </c>
      <c r="B94" s="53" t="s">
        <v>785</v>
      </c>
      <c r="C94" s="6" t="s">
        <v>381</v>
      </c>
      <c r="D94" s="73" t="s">
        <v>382</v>
      </c>
      <c r="E94" s="6" t="s">
        <v>37</v>
      </c>
      <c r="F94" s="17">
        <v>3</v>
      </c>
      <c r="G94" s="277" t="s">
        <v>545</v>
      </c>
      <c r="H94" s="278"/>
    </row>
    <row r="95" spans="1:8">
      <c r="A95" s="52" t="s">
        <v>208</v>
      </c>
      <c r="B95" s="53" t="s">
        <v>785</v>
      </c>
      <c r="C95" s="6" t="s">
        <v>384</v>
      </c>
      <c r="D95" s="73" t="s">
        <v>385</v>
      </c>
      <c r="E95" s="6" t="s">
        <v>37</v>
      </c>
      <c r="F95" s="17">
        <v>3</v>
      </c>
      <c r="G95" s="279" t="s">
        <v>546</v>
      </c>
      <c r="H95" s="280"/>
    </row>
    <row r="96" spans="1:8">
      <c r="A96" s="52" t="s">
        <v>383</v>
      </c>
      <c r="B96" s="53" t="s">
        <v>785</v>
      </c>
      <c r="C96" s="6" t="s">
        <v>387</v>
      </c>
      <c r="D96" s="73" t="s">
        <v>388</v>
      </c>
      <c r="E96" s="6" t="s">
        <v>37</v>
      </c>
      <c r="F96" s="17">
        <v>15</v>
      </c>
      <c r="G96" s="279" t="s">
        <v>547</v>
      </c>
      <c r="H96" s="280"/>
    </row>
    <row r="97" spans="1:8">
      <c r="A97" s="52" t="s">
        <v>386</v>
      </c>
      <c r="B97" s="53" t="s">
        <v>785</v>
      </c>
      <c r="C97" s="6" t="s">
        <v>390</v>
      </c>
      <c r="D97" s="73" t="s">
        <v>391</v>
      </c>
      <c r="E97" s="6" t="s">
        <v>37</v>
      </c>
      <c r="F97" s="17">
        <v>15</v>
      </c>
      <c r="G97" s="279" t="s">
        <v>547</v>
      </c>
      <c r="H97" s="280"/>
    </row>
    <row r="98" spans="1:8">
      <c r="A98" s="52" t="s">
        <v>389</v>
      </c>
      <c r="B98" s="53" t="s">
        <v>785</v>
      </c>
      <c r="C98" s="6" t="s">
        <v>392</v>
      </c>
      <c r="D98" s="73" t="s">
        <v>393</v>
      </c>
      <c r="E98" s="6" t="s">
        <v>16</v>
      </c>
      <c r="F98" s="17">
        <f>(2*0.6*4)+(2.6*0.6*2)+(1.2*0.6*2)</f>
        <v>9.36</v>
      </c>
      <c r="G98" s="277" t="s">
        <v>687</v>
      </c>
      <c r="H98" s="278"/>
    </row>
    <row r="99" spans="1:8">
      <c r="A99" s="52" t="s">
        <v>683</v>
      </c>
      <c r="B99" s="53" t="s">
        <v>785</v>
      </c>
      <c r="C99" s="6" t="s">
        <v>684</v>
      </c>
      <c r="D99" s="73" t="s">
        <v>685</v>
      </c>
      <c r="E99" s="6" t="s">
        <v>16</v>
      </c>
      <c r="F99" s="17">
        <v>9.36</v>
      </c>
      <c r="G99" s="277" t="s">
        <v>687</v>
      </c>
      <c r="H99" s="278"/>
    </row>
    <row r="100" spans="1:8">
      <c r="A100" s="52"/>
      <c r="B100" s="6"/>
      <c r="C100" s="77"/>
      <c r="D100" s="71"/>
      <c r="E100" s="6"/>
      <c r="F100" s="17"/>
      <c r="G100" s="279"/>
      <c r="H100" s="280"/>
    </row>
    <row r="101" spans="1:8">
      <c r="A101" s="38">
        <v>11</v>
      </c>
      <c r="B101" s="12"/>
      <c r="C101" s="12"/>
      <c r="D101" s="7" t="s">
        <v>43</v>
      </c>
      <c r="E101" s="12"/>
      <c r="F101" s="12"/>
      <c r="G101" s="283"/>
      <c r="H101" s="284"/>
    </row>
    <row r="102" spans="1:8">
      <c r="A102" s="52" t="s">
        <v>212</v>
      </c>
      <c r="B102" s="53" t="s">
        <v>785</v>
      </c>
      <c r="C102" s="77" t="s">
        <v>214</v>
      </c>
      <c r="D102" s="78" t="s">
        <v>215</v>
      </c>
      <c r="E102" s="6" t="s">
        <v>16</v>
      </c>
      <c r="F102" s="17">
        <f>F78-F80-F82</f>
        <v>417.41999999999996</v>
      </c>
      <c r="G102" s="279" t="s">
        <v>548</v>
      </c>
      <c r="H102" s="280"/>
    </row>
    <row r="103" spans="1:8">
      <c r="A103" s="52" t="s">
        <v>213</v>
      </c>
      <c r="B103" s="53" t="s">
        <v>785</v>
      </c>
      <c r="C103" s="6" t="s">
        <v>394</v>
      </c>
      <c r="D103" s="1" t="s">
        <v>395</v>
      </c>
      <c r="E103" s="6" t="s">
        <v>16</v>
      </c>
      <c r="F103" s="17">
        <f>(0.9*2.1*2)</f>
        <v>3.7800000000000002</v>
      </c>
      <c r="G103" s="279" t="s">
        <v>549</v>
      </c>
      <c r="H103" s="280"/>
    </row>
    <row r="104" spans="1:8">
      <c r="A104" s="52"/>
      <c r="B104" s="6"/>
      <c r="C104" s="6"/>
      <c r="D104" s="74"/>
      <c r="E104" s="6"/>
      <c r="F104" s="17"/>
      <c r="G104" s="279"/>
      <c r="H104" s="280"/>
    </row>
    <row r="105" spans="1:8">
      <c r="A105" s="38">
        <v>12</v>
      </c>
      <c r="B105" s="12"/>
      <c r="C105" s="12"/>
      <c r="D105" s="7" t="s">
        <v>396</v>
      </c>
      <c r="E105" s="12"/>
      <c r="F105" s="12"/>
      <c r="G105" s="283"/>
      <c r="H105" s="284"/>
    </row>
    <row r="106" spans="1:8">
      <c r="A106" s="52" t="s">
        <v>220</v>
      </c>
      <c r="B106" s="53" t="s">
        <v>785</v>
      </c>
      <c r="C106" s="6" t="s">
        <v>397</v>
      </c>
      <c r="D106" s="78" t="s">
        <v>398</v>
      </c>
      <c r="E106" s="6" t="s">
        <v>37</v>
      </c>
      <c r="F106" s="17">
        <v>2</v>
      </c>
      <c r="G106" s="279" t="s">
        <v>597</v>
      </c>
      <c r="H106" s="280"/>
    </row>
    <row r="107" spans="1:8">
      <c r="A107" s="52" t="s">
        <v>223</v>
      </c>
      <c r="B107" s="53" t="s">
        <v>785</v>
      </c>
      <c r="C107" s="6" t="s">
        <v>236</v>
      </c>
      <c r="D107" s="78" t="s">
        <v>237</v>
      </c>
      <c r="E107" s="6" t="s">
        <v>37</v>
      </c>
      <c r="F107" s="17">
        <v>2</v>
      </c>
      <c r="G107" s="279" t="s">
        <v>597</v>
      </c>
      <c r="H107" s="280"/>
    </row>
    <row r="108" spans="1:8">
      <c r="A108" s="52" t="s">
        <v>226</v>
      </c>
      <c r="B108" s="53" t="s">
        <v>785</v>
      </c>
      <c r="C108" s="6" t="s">
        <v>686</v>
      </c>
      <c r="D108" s="73" t="s">
        <v>399</v>
      </c>
      <c r="E108" s="6" t="s">
        <v>18</v>
      </c>
      <c r="F108" s="17">
        <v>1.8</v>
      </c>
      <c r="G108" s="279" t="s">
        <v>550</v>
      </c>
      <c r="H108" s="280"/>
    </row>
    <row r="109" spans="1:8" ht="29.25">
      <c r="A109" s="52" t="s">
        <v>229</v>
      </c>
      <c r="B109" s="53" t="s">
        <v>785</v>
      </c>
      <c r="C109" s="6" t="s">
        <v>400</v>
      </c>
      <c r="D109" s="73" t="s">
        <v>401</v>
      </c>
      <c r="E109" s="6" t="s">
        <v>37</v>
      </c>
      <c r="F109" s="17">
        <v>6</v>
      </c>
      <c r="G109" s="277" t="s">
        <v>598</v>
      </c>
      <c r="H109" s="278"/>
    </row>
    <row r="110" spans="1:8" ht="29.25">
      <c r="A110" s="52" t="s">
        <v>232</v>
      </c>
      <c r="B110" s="53" t="s">
        <v>785</v>
      </c>
      <c r="C110" s="6" t="s">
        <v>402</v>
      </c>
      <c r="D110" s="73" t="s">
        <v>403</v>
      </c>
      <c r="E110" s="6" t="s">
        <v>37</v>
      </c>
      <c r="F110" s="17">
        <v>6</v>
      </c>
      <c r="G110" s="279" t="s">
        <v>597</v>
      </c>
      <c r="H110" s="280"/>
    </row>
    <row r="111" spans="1:8">
      <c r="A111" s="52" t="s">
        <v>235</v>
      </c>
      <c r="B111" s="53" t="s">
        <v>785</v>
      </c>
      <c r="C111" s="6" t="s">
        <v>221</v>
      </c>
      <c r="D111" s="78" t="s">
        <v>222</v>
      </c>
      <c r="E111" s="6" t="s">
        <v>37</v>
      </c>
      <c r="F111" s="17">
        <v>17</v>
      </c>
      <c r="G111" s="277" t="s">
        <v>596</v>
      </c>
      <c r="H111" s="278"/>
    </row>
    <row r="112" spans="1:8">
      <c r="A112" s="52" t="s">
        <v>238</v>
      </c>
      <c r="B112" s="53" t="s">
        <v>785</v>
      </c>
      <c r="C112" s="6" t="s">
        <v>224</v>
      </c>
      <c r="D112" s="78" t="s">
        <v>225</v>
      </c>
      <c r="E112" s="6" t="s">
        <v>37</v>
      </c>
      <c r="F112" s="17">
        <v>10</v>
      </c>
      <c r="G112" s="277" t="s">
        <v>552</v>
      </c>
      <c r="H112" s="278"/>
    </row>
    <row r="113" spans="1:8">
      <c r="A113" s="52" t="s">
        <v>240</v>
      </c>
      <c r="B113" s="53" t="s">
        <v>785</v>
      </c>
      <c r="C113" s="6" t="s">
        <v>227</v>
      </c>
      <c r="D113" s="78" t="s">
        <v>228</v>
      </c>
      <c r="E113" s="6" t="s">
        <v>16</v>
      </c>
      <c r="F113" s="17">
        <f>(0.5*0.8*4)+(6*0.8*2)</f>
        <v>11.200000000000001</v>
      </c>
      <c r="G113" s="279" t="s">
        <v>553</v>
      </c>
      <c r="H113" s="280"/>
    </row>
    <row r="114" spans="1:8">
      <c r="A114" s="52" t="s">
        <v>243</v>
      </c>
      <c r="B114" s="53" t="s">
        <v>785</v>
      </c>
      <c r="C114" s="6" t="s">
        <v>230</v>
      </c>
      <c r="D114" s="78" t="s">
        <v>231</v>
      </c>
      <c r="E114" s="6" t="s">
        <v>37</v>
      </c>
      <c r="F114" s="17">
        <v>10</v>
      </c>
      <c r="G114" s="277" t="s">
        <v>595</v>
      </c>
      <c r="H114" s="278"/>
    </row>
    <row r="115" spans="1:8" ht="29.25">
      <c r="A115" s="52" t="s">
        <v>246</v>
      </c>
      <c r="B115" s="53" t="s">
        <v>785</v>
      </c>
      <c r="C115" s="6" t="s">
        <v>404</v>
      </c>
      <c r="D115" s="78" t="s">
        <v>405</v>
      </c>
      <c r="E115" s="6" t="s">
        <v>37</v>
      </c>
      <c r="F115" s="17">
        <v>2</v>
      </c>
      <c r="G115" s="279" t="s">
        <v>551</v>
      </c>
      <c r="H115" s="280"/>
    </row>
    <row r="116" spans="1:8" ht="29.25">
      <c r="A116" s="52" t="s">
        <v>249</v>
      </c>
      <c r="B116" s="53" t="s">
        <v>785</v>
      </c>
      <c r="C116" s="100" t="s">
        <v>688</v>
      </c>
      <c r="D116" s="78" t="s">
        <v>406</v>
      </c>
      <c r="E116" s="6" t="s">
        <v>37</v>
      </c>
      <c r="F116" s="17">
        <v>15</v>
      </c>
      <c r="G116" s="277" t="s">
        <v>554</v>
      </c>
      <c r="H116" s="278"/>
    </row>
    <row r="117" spans="1:8">
      <c r="A117" s="52" t="s">
        <v>252</v>
      </c>
      <c r="B117" s="53" t="s">
        <v>785</v>
      </c>
      <c r="C117" s="6" t="s">
        <v>236</v>
      </c>
      <c r="D117" s="78" t="s">
        <v>237</v>
      </c>
      <c r="E117" s="6" t="s">
        <v>37</v>
      </c>
      <c r="F117" s="17">
        <v>15</v>
      </c>
      <c r="G117" s="277" t="s">
        <v>555</v>
      </c>
      <c r="H117" s="278"/>
    </row>
    <row r="118" spans="1:8">
      <c r="A118" s="52" t="s">
        <v>255</v>
      </c>
      <c r="B118" s="53" t="s">
        <v>785</v>
      </c>
      <c r="C118" s="6" t="s">
        <v>407</v>
      </c>
      <c r="D118" s="78" t="s">
        <v>408</v>
      </c>
      <c r="E118" s="6" t="s">
        <v>37</v>
      </c>
      <c r="F118" s="17">
        <v>4</v>
      </c>
      <c r="G118" s="279" t="s">
        <v>556</v>
      </c>
      <c r="H118" s="280"/>
    </row>
    <row r="119" spans="1:8" ht="29.25">
      <c r="A119" s="52" t="s">
        <v>258</v>
      </c>
      <c r="B119" s="53" t="s">
        <v>785</v>
      </c>
      <c r="C119" s="6" t="s">
        <v>507</v>
      </c>
      <c r="D119" s="78" t="s">
        <v>506</v>
      </c>
      <c r="E119" s="6" t="s">
        <v>18</v>
      </c>
      <c r="F119" s="17">
        <f>(0.9*5)+(1.67*2)+(2*6)+(1*2)</f>
        <v>21.84</v>
      </c>
      <c r="G119" s="279" t="s">
        <v>594</v>
      </c>
      <c r="H119" s="280"/>
    </row>
    <row r="120" spans="1:8" ht="29.25">
      <c r="A120" s="52" t="s">
        <v>261</v>
      </c>
      <c r="B120" s="53" t="s">
        <v>785</v>
      </c>
      <c r="C120" s="77" t="s">
        <v>409</v>
      </c>
      <c r="D120" s="78" t="s">
        <v>410</v>
      </c>
      <c r="E120" s="6" t="s">
        <v>37</v>
      </c>
      <c r="F120" s="17">
        <v>2</v>
      </c>
      <c r="G120" s="279" t="s">
        <v>551</v>
      </c>
      <c r="H120" s="280"/>
    </row>
    <row r="121" spans="1:8">
      <c r="A121" s="52" t="s">
        <v>263</v>
      </c>
      <c r="B121" s="53" t="s">
        <v>785</v>
      </c>
      <c r="C121" s="77" t="s">
        <v>241</v>
      </c>
      <c r="D121" s="78" t="s">
        <v>242</v>
      </c>
      <c r="E121" s="6" t="s">
        <v>37</v>
      </c>
      <c r="F121" s="17">
        <v>14</v>
      </c>
      <c r="G121" s="279" t="s">
        <v>557</v>
      </c>
      <c r="H121" s="280"/>
    </row>
    <row r="122" spans="1:8">
      <c r="A122" s="52" t="s">
        <v>411</v>
      </c>
      <c r="B122" s="53" t="s">
        <v>785</v>
      </c>
      <c r="C122" s="6" t="s">
        <v>244</v>
      </c>
      <c r="D122" s="75" t="s">
        <v>245</v>
      </c>
      <c r="E122" s="6" t="s">
        <v>16</v>
      </c>
      <c r="F122" s="17">
        <f>(3.68*2)+4.07</f>
        <v>11.43</v>
      </c>
      <c r="G122" s="279" t="s">
        <v>558</v>
      </c>
      <c r="H122" s="280"/>
    </row>
    <row r="123" spans="1:8" ht="29.25">
      <c r="A123" s="52" t="s">
        <v>412</v>
      </c>
      <c r="B123" s="53" t="s">
        <v>785</v>
      </c>
      <c r="C123" s="6" t="s">
        <v>247</v>
      </c>
      <c r="D123" s="78" t="s">
        <v>248</v>
      </c>
      <c r="E123" s="6" t="s">
        <v>37</v>
      </c>
      <c r="F123" s="17">
        <v>14</v>
      </c>
      <c r="G123" s="279" t="s">
        <v>557</v>
      </c>
      <c r="H123" s="280"/>
    </row>
    <row r="124" spans="1:8" ht="29.25">
      <c r="A124" s="52" t="s">
        <v>413</v>
      </c>
      <c r="B124" s="53" t="s">
        <v>785</v>
      </c>
      <c r="C124" s="6" t="s">
        <v>250</v>
      </c>
      <c r="D124" s="78" t="s">
        <v>251</v>
      </c>
      <c r="E124" s="6" t="s">
        <v>37</v>
      </c>
      <c r="F124" s="17">
        <v>2</v>
      </c>
      <c r="G124" s="279" t="s">
        <v>551</v>
      </c>
      <c r="H124" s="280"/>
    </row>
    <row r="125" spans="1:8">
      <c r="A125" s="52" t="s">
        <v>414</v>
      </c>
      <c r="B125" s="53" t="s">
        <v>785</v>
      </c>
      <c r="C125" s="6" t="s">
        <v>253</v>
      </c>
      <c r="D125" s="78" t="s">
        <v>415</v>
      </c>
      <c r="E125" s="6" t="s">
        <v>37</v>
      </c>
      <c r="F125" s="17">
        <v>2</v>
      </c>
      <c r="G125" s="279" t="s">
        <v>559</v>
      </c>
      <c r="H125" s="280"/>
    </row>
    <row r="126" spans="1:8">
      <c r="A126" s="52" t="s">
        <v>416</v>
      </c>
      <c r="B126" s="53" t="s">
        <v>785</v>
      </c>
      <c r="C126" s="6" t="s">
        <v>417</v>
      </c>
      <c r="D126" s="78" t="s">
        <v>418</v>
      </c>
      <c r="E126" s="6" t="s">
        <v>37</v>
      </c>
      <c r="F126" s="17">
        <v>2</v>
      </c>
      <c r="G126" s="279" t="s">
        <v>559</v>
      </c>
      <c r="H126" s="280"/>
    </row>
    <row r="127" spans="1:8">
      <c r="A127" s="52" t="s">
        <v>419</v>
      </c>
      <c r="B127" s="53" t="s">
        <v>785</v>
      </c>
      <c r="C127" s="6" t="s">
        <v>420</v>
      </c>
      <c r="D127" s="78" t="s">
        <v>421</v>
      </c>
      <c r="E127" s="6" t="s">
        <v>37</v>
      </c>
      <c r="F127" s="17">
        <v>1</v>
      </c>
      <c r="G127" s="279" t="s">
        <v>559</v>
      </c>
      <c r="H127" s="280"/>
    </row>
    <row r="128" spans="1:8">
      <c r="A128" s="52" t="s">
        <v>422</v>
      </c>
      <c r="B128" s="53" t="s">
        <v>785</v>
      </c>
      <c r="C128" s="6" t="s">
        <v>259</v>
      </c>
      <c r="D128" s="78" t="s">
        <v>423</v>
      </c>
      <c r="E128" s="6" t="s">
        <v>37</v>
      </c>
      <c r="F128" s="17">
        <v>2</v>
      </c>
      <c r="G128" s="279" t="s">
        <v>560</v>
      </c>
      <c r="H128" s="280"/>
    </row>
    <row r="129" spans="1:8">
      <c r="A129" s="52" t="s">
        <v>424</v>
      </c>
      <c r="B129" s="53" t="s">
        <v>785</v>
      </c>
      <c r="C129" s="6" t="s">
        <v>425</v>
      </c>
      <c r="D129" s="78" t="s">
        <v>426</v>
      </c>
      <c r="E129" s="6" t="s">
        <v>16</v>
      </c>
      <c r="F129" s="17">
        <f>(1.3*2*14)+(0.5*2*7)+(0.45*0.8*3)</f>
        <v>44.48</v>
      </c>
      <c r="G129" s="279" t="s">
        <v>561</v>
      </c>
      <c r="H129" s="280"/>
    </row>
    <row r="130" spans="1:8" ht="29.25">
      <c r="A130" s="52" t="s">
        <v>812</v>
      </c>
      <c r="B130" s="53" t="s">
        <v>785</v>
      </c>
      <c r="C130" s="6" t="s">
        <v>813</v>
      </c>
      <c r="D130" s="78" t="s">
        <v>814</v>
      </c>
      <c r="E130" s="6" t="s">
        <v>18</v>
      </c>
      <c r="F130" s="17">
        <v>2.4</v>
      </c>
      <c r="G130" s="279" t="s">
        <v>857</v>
      </c>
      <c r="H130" s="280"/>
    </row>
    <row r="131" spans="1:8">
      <c r="A131" s="52"/>
      <c r="B131" s="6"/>
      <c r="C131" s="6"/>
      <c r="D131" s="71"/>
      <c r="E131" s="6"/>
      <c r="F131" s="6"/>
      <c r="G131" s="279"/>
      <c r="H131" s="280"/>
    </row>
    <row r="132" spans="1:8">
      <c r="A132" s="38">
        <v>13</v>
      </c>
      <c r="B132" s="12"/>
      <c r="C132" s="12"/>
      <c r="D132" s="7" t="s">
        <v>265</v>
      </c>
      <c r="E132" s="12"/>
      <c r="F132" s="12"/>
      <c r="G132" s="283"/>
      <c r="H132" s="284"/>
    </row>
    <row r="133" spans="1:8" ht="29.25">
      <c r="A133" s="52" t="s">
        <v>266</v>
      </c>
      <c r="B133" s="32" t="s">
        <v>74</v>
      </c>
      <c r="C133" s="77" t="s">
        <v>304</v>
      </c>
      <c r="D133" s="78" t="s">
        <v>305</v>
      </c>
      <c r="E133" s="6" t="s">
        <v>37</v>
      </c>
      <c r="F133" s="17">
        <v>12</v>
      </c>
      <c r="G133" s="277" t="s">
        <v>562</v>
      </c>
      <c r="H133" s="278"/>
    </row>
    <row r="134" spans="1:8" ht="29.25">
      <c r="A134" s="52" t="s">
        <v>269</v>
      </c>
      <c r="B134" s="53" t="s">
        <v>785</v>
      </c>
      <c r="C134" s="77" t="s">
        <v>427</v>
      </c>
      <c r="D134" s="78" t="s">
        <v>428</v>
      </c>
      <c r="E134" s="6" t="s">
        <v>37</v>
      </c>
      <c r="F134" s="17">
        <v>16</v>
      </c>
      <c r="G134" s="277" t="s">
        <v>563</v>
      </c>
      <c r="H134" s="278"/>
    </row>
    <row r="135" spans="1:8" ht="29.25">
      <c r="A135" s="52" t="s">
        <v>272</v>
      </c>
      <c r="B135" s="53" t="s">
        <v>785</v>
      </c>
      <c r="C135" s="77" t="s">
        <v>429</v>
      </c>
      <c r="D135" s="78" t="s">
        <v>430</v>
      </c>
      <c r="E135" s="6" t="s">
        <v>37</v>
      </c>
      <c r="F135" s="17">
        <v>6</v>
      </c>
      <c r="G135" s="277" t="s">
        <v>564</v>
      </c>
      <c r="H135" s="278"/>
    </row>
    <row r="136" spans="1:8">
      <c r="A136" s="52" t="s">
        <v>275</v>
      </c>
      <c r="B136" s="53" t="s">
        <v>785</v>
      </c>
      <c r="C136" s="77" t="s">
        <v>431</v>
      </c>
      <c r="D136" s="78" t="s">
        <v>432</v>
      </c>
      <c r="E136" s="6" t="s">
        <v>37</v>
      </c>
      <c r="F136" s="17">
        <v>6</v>
      </c>
      <c r="G136" s="279" t="s">
        <v>565</v>
      </c>
      <c r="H136" s="280"/>
    </row>
    <row r="137" spans="1:8" ht="29.25">
      <c r="A137" s="52" t="s">
        <v>278</v>
      </c>
      <c r="B137" s="53" t="s">
        <v>785</v>
      </c>
      <c r="C137" s="77" t="s">
        <v>267</v>
      </c>
      <c r="D137" s="78" t="s">
        <v>268</v>
      </c>
      <c r="E137" s="6" t="s">
        <v>37</v>
      </c>
      <c r="F137" s="17">
        <v>1</v>
      </c>
      <c r="G137" s="277" t="s">
        <v>656</v>
      </c>
      <c r="H137" s="278"/>
    </row>
    <row r="138" spans="1:8">
      <c r="A138" s="52" t="s">
        <v>279</v>
      </c>
      <c r="B138" s="53" t="s">
        <v>785</v>
      </c>
      <c r="C138" s="77" t="s">
        <v>270</v>
      </c>
      <c r="D138" s="78" t="s">
        <v>271</v>
      </c>
      <c r="E138" s="6" t="s">
        <v>37</v>
      </c>
      <c r="F138" s="17">
        <v>1</v>
      </c>
      <c r="G138" s="279" t="s">
        <v>658</v>
      </c>
      <c r="H138" s="280"/>
    </row>
    <row r="139" spans="1:8">
      <c r="A139" s="52" t="s">
        <v>282</v>
      </c>
      <c r="B139" s="53" t="s">
        <v>785</v>
      </c>
      <c r="C139" s="77" t="s">
        <v>273</v>
      </c>
      <c r="D139" s="78" t="s">
        <v>274</v>
      </c>
      <c r="E139" s="6" t="s">
        <v>37</v>
      </c>
      <c r="F139" s="17">
        <v>6</v>
      </c>
      <c r="G139" s="279" t="s">
        <v>658</v>
      </c>
      <c r="H139" s="280"/>
    </row>
    <row r="140" spans="1:8">
      <c r="A140" s="52" t="s">
        <v>283</v>
      </c>
      <c r="B140" s="53" t="s">
        <v>785</v>
      </c>
      <c r="C140" s="77" t="s">
        <v>276</v>
      </c>
      <c r="D140" s="78" t="s">
        <v>277</v>
      </c>
      <c r="E140" s="6" t="s">
        <v>18</v>
      </c>
      <c r="F140" s="17">
        <f>(18*5)+(16*3)</f>
        <v>138</v>
      </c>
      <c r="G140" s="279" t="s">
        <v>834</v>
      </c>
      <c r="H140" s="280"/>
    </row>
    <row r="141" spans="1:8">
      <c r="A141" s="52" t="s">
        <v>286</v>
      </c>
      <c r="B141" s="53" t="s">
        <v>785</v>
      </c>
      <c r="C141" s="77" t="s">
        <v>691</v>
      </c>
      <c r="D141" s="78" t="s">
        <v>690</v>
      </c>
      <c r="E141" s="6" t="s">
        <v>18</v>
      </c>
      <c r="F141" s="17">
        <v>24</v>
      </c>
      <c r="G141" s="279" t="s">
        <v>566</v>
      </c>
      <c r="H141" s="280"/>
    </row>
    <row r="142" spans="1:8" ht="29.25">
      <c r="A142" s="52" t="s">
        <v>289</v>
      </c>
      <c r="B142" s="53" t="s">
        <v>785</v>
      </c>
      <c r="C142" s="77" t="s">
        <v>284</v>
      </c>
      <c r="D142" s="78" t="s">
        <v>285</v>
      </c>
      <c r="E142" s="6" t="s">
        <v>18</v>
      </c>
      <c r="F142" s="17">
        <f>60*2</f>
        <v>120</v>
      </c>
      <c r="G142" s="279" t="s">
        <v>567</v>
      </c>
      <c r="H142" s="280"/>
    </row>
    <row r="143" spans="1:8" ht="29.25">
      <c r="A143" s="52" t="s">
        <v>292</v>
      </c>
      <c r="B143" s="53" t="s">
        <v>785</v>
      </c>
      <c r="C143" s="77" t="s">
        <v>433</v>
      </c>
      <c r="D143" s="78" t="s">
        <v>434</v>
      </c>
      <c r="E143" s="6" t="s">
        <v>18</v>
      </c>
      <c r="F143" s="17">
        <f>(120*2)+ (120*3)</f>
        <v>600</v>
      </c>
      <c r="G143" s="279" t="s">
        <v>568</v>
      </c>
      <c r="H143" s="280"/>
    </row>
    <row r="144" spans="1:8" ht="29.25">
      <c r="A144" s="52" t="s">
        <v>295</v>
      </c>
      <c r="B144" s="53" t="s">
        <v>785</v>
      </c>
      <c r="C144" s="77" t="s">
        <v>435</v>
      </c>
      <c r="D144" s="78" t="s">
        <v>436</v>
      </c>
      <c r="E144" s="6" t="s">
        <v>18</v>
      </c>
      <c r="F144" s="17">
        <v>45</v>
      </c>
      <c r="G144" s="279" t="s">
        <v>569</v>
      </c>
      <c r="H144" s="280"/>
    </row>
    <row r="145" spans="1:8" ht="29.25">
      <c r="A145" s="52" t="s">
        <v>297</v>
      </c>
      <c r="B145" s="53" t="s">
        <v>785</v>
      </c>
      <c r="C145" s="77" t="s">
        <v>437</v>
      </c>
      <c r="D145" s="78" t="s">
        <v>438</v>
      </c>
      <c r="E145" s="6" t="s">
        <v>18</v>
      </c>
      <c r="F145" s="17">
        <f>5.17*3</f>
        <v>15.51</v>
      </c>
      <c r="G145" s="279" t="s">
        <v>835</v>
      </c>
      <c r="H145" s="280"/>
    </row>
    <row r="146" spans="1:8">
      <c r="A146" s="52" t="s">
        <v>300</v>
      </c>
      <c r="B146" s="53" t="s">
        <v>785</v>
      </c>
      <c r="C146" s="77" t="s">
        <v>287</v>
      </c>
      <c r="D146" s="78" t="s">
        <v>288</v>
      </c>
      <c r="E146" s="6" t="s">
        <v>37</v>
      </c>
      <c r="F146" s="17">
        <v>18</v>
      </c>
      <c r="G146" s="277" t="s">
        <v>570</v>
      </c>
      <c r="H146" s="278"/>
    </row>
    <row r="147" spans="1:8">
      <c r="A147" s="52" t="s">
        <v>303</v>
      </c>
      <c r="B147" s="53" t="s">
        <v>785</v>
      </c>
      <c r="C147" s="77" t="s">
        <v>439</v>
      </c>
      <c r="D147" s="78" t="s">
        <v>440</v>
      </c>
      <c r="E147" s="6" t="s">
        <v>37</v>
      </c>
      <c r="F147" s="17">
        <v>6</v>
      </c>
      <c r="G147" s="277" t="s">
        <v>593</v>
      </c>
      <c r="H147" s="278"/>
    </row>
    <row r="148" spans="1:8">
      <c r="A148" s="52" t="s">
        <v>306</v>
      </c>
      <c r="B148" s="53" t="s">
        <v>785</v>
      </c>
      <c r="C148" s="77" t="s">
        <v>290</v>
      </c>
      <c r="D148" s="78" t="s">
        <v>291</v>
      </c>
      <c r="E148" s="6" t="s">
        <v>37</v>
      </c>
      <c r="F148" s="17">
        <v>14</v>
      </c>
      <c r="G148" s="279" t="s">
        <v>571</v>
      </c>
      <c r="H148" s="280"/>
    </row>
    <row r="149" spans="1:8">
      <c r="A149" s="52" t="s">
        <v>441</v>
      </c>
      <c r="B149" s="53" t="s">
        <v>785</v>
      </c>
      <c r="C149" s="77" t="s">
        <v>442</v>
      </c>
      <c r="D149" s="78" t="s">
        <v>443</v>
      </c>
      <c r="E149" s="6" t="s">
        <v>294</v>
      </c>
      <c r="F149" s="17">
        <v>3</v>
      </c>
      <c r="G149" s="277" t="s">
        <v>562</v>
      </c>
      <c r="H149" s="278"/>
    </row>
    <row r="150" spans="1:8">
      <c r="A150" s="52" t="s">
        <v>444</v>
      </c>
      <c r="B150" s="53" t="s">
        <v>785</v>
      </c>
      <c r="C150" s="77" t="s">
        <v>445</v>
      </c>
      <c r="D150" s="78" t="s">
        <v>446</v>
      </c>
      <c r="E150" s="6" t="s">
        <v>294</v>
      </c>
      <c r="F150" s="17">
        <v>6</v>
      </c>
      <c r="G150" s="279" t="s">
        <v>572</v>
      </c>
      <c r="H150" s="280"/>
    </row>
    <row r="151" spans="1:8">
      <c r="A151" s="52" t="s">
        <v>447</v>
      </c>
      <c r="B151" s="53" t="s">
        <v>785</v>
      </c>
      <c r="C151" s="77" t="s">
        <v>448</v>
      </c>
      <c r="D151" s="78" t="s">
        <v>296</v>
      </c>
      <c r="E151" s="6" t="s">
        <v>294</v>
      </c>
      <c r="F151" s="17">
        <v>5</v>
      </c>
      <c r="G151" s="279" t="s">
        <v>573</v>
      </c>
      <c r="H151" s="280"/>
    </row>
    <row r="152" spans="1:8">
      <c r="A152" s="52" t="s">
        <v>449</v>
      </c>
      <c r="B152" s="53" t="s">
        <v>785</v>
      </c>
      <c r="C152" s="77" t="s">
        <v>450</v>
      </c>
      <c r="D152" s="78" t="s">
        <v>451</v>
      </c>
      <c r="E152" s="6" t="s">
        <v>294</v>
      </c>
      <c r="F152" s="17">
        <v>13</v>
      </c>
      <c r="G152" s="279" t="s">
        <v>572</v>
      </c>
      <c r="H152" s="280"/>
    </row>
    <row r="153" spans="1:8">
      <c r="A153" s="52" t="s">
        <v>452</v>
      </c>
      <c r="B153" s="53" t="s">
        <v>785</v>
      </c>
      <c r="C153" s="77" t="s">
        <v>298</v>
      </c>
      <c r="D153" s="78" t="s">
        <v>299</v>
      </c>
      <c r="E153" s="6" t="s">
        <v>98</v>
      </c>
      <c r="F153" s="17">
        <f>(0.403*3)</f>
        <v>1.2090000000000001</v>
      </c>
      <c r="G153" s="279" t="s">
        <v>655</v>
      </c>
      <c r="H153" s="280"/>
    </row>
    <row r="154" spans="1:8">
      <c r="A154" s="52" t="s">
        <v>453</v>
      </c>
      <c r="B154" s="53" t="s">
        <v>785</v>
      </c>
      <c r="C154" s="77" t="s">
        <v>301</v>
      </c>
      <c r="D154" s="78" t="s">
        <v>302</v>
      </c>
      <c r="E154" s="6" t="s">
        <v>18</v>
      </c>
      <c r="F154" s="17">
        <f>(4+4+18)</f>
        <v>26</v>
      </c>
      <c r="G154" s="279" t="s">
        <v>559</v>
      </c>
      <c r="H154" s="280"/>
    </row>
    <row r="155" spans="1:8">
      <c r="A155" s="52"/>
      <c r="B155" s="6"/>
      <c r="C155" s="77"/>
      <c r="D155" s="74"/>
      <c r="E155" s="6"/>
      <c r="F155" s="6"/>
      <c r="G155" s="279"/>
      <c r="H155" s="280"/>
    </row>
    <row r="156" spans="1:8">
      <c r="A156" s="38">
        <v>14</v>
      </c>
      <c r="B156" s="12"/>
      <c r="C156" s="12"/>
      <c r="D156" s="7" t="s">
        <v>308</v>
      </c>
      <c r="E156" s="12"/>
      <c r="F156" s="12"/>
      <c r="G156" s="283"/>
      <c r="H156" s="284"/>
    </row>
    <row r="157" spans="1:8">
      <c r="A157" s="52" t="s">
        <v>454</v>
      </c>
      <c r="B157" s="53" t="s">
        <v>785</v>
      </c>
      <c r="C157" s="6" t="s">
        <v>455</v>
      </c>
      <c r="D157" s="78" t="s">
        <v>456</v>
      </c>
      <c r="E157" s="6" t="s">
        <v>37</v>
      </c>
      <c r="F157" s="6">
        <v>2</v>
      </c>
      <c r="G157" s="277" t="s">
        <v>574</v>
      </c>
      <c r="H157" s="278"/>
    </row>
    <row r="158" spans="1:8">
      <c r="A158" s="52" t="s">
        <v>309</v>
      </c>
      <c r="B158" s="53" t="s">
        <v>785</v>
      </c>
      <c r="C158" s="6" t="s">
        <v>310</v>
      </c>
      <c r="D158" s="78" t="s">
        <v>311</v>
      </c>
      <c r="E158" s="6" t="s">
        <v>18</v>
      </c>
      <c r="F158" s="17">
        <f>(25+20.2+(8*2.5))</f>
        <v>65.2</v>
      </c>
      <c r="G158" s="279" t="s">
        <v>836</v>
      </c>
      <c r="H158" s="280"/>
    </row>
    <row r="159" spans="1:8">
      <c r="A159" s="52" t="s">
        <v>312</v>
      </c>
      <c r="B159" s="53" t="s">
        <v>785</v>
      </c>
      <c r="C159" s="6" t="s">
        <v>457</v>
      </c>
      <c r="D159" s="78" t="s">
        <v>458</v>
      </c>
      <c r="E159" s="6" t="s">
        <v>18</v>
      </c>
      <c r="F159" s="17">
        <v>12</v>
      </c>
      <c r="G159" s="279" t="s">
        <v>837</v>
      </c>
      <c r="H159" s="280"/>
    </row>
    <row r="160" spans="1:8">
      <c r="A160" s="52" t="s">
        <v>315</v>
      </c>
      <c r="B160" s="53" t="s">
        <v>785</v>
      </c>
      <c r="C160" s="6" t="s">
        <v>313</v>
      </c>
      <c r="D160" s="78" t="s">
        <v>314</v>
      </c>
      <c r="E160" s="6" t="s">
        <v>18</v>
      </c>
      <c r="F160" s="17">
        <f>(17*2.6)+3</f>
        <v>47.2</v>
      </c>
      <c r="G160" s="279" t="s">
        <v>838</v>
      </c>
      <c r="H160" s="280"/>
    </row>
    <row r="161" spans="1:8">
      <c r="A161" s="52" t="s">
        <v>318</v>
      </c>
      <c r="B161" s="53" t="s">
        <v>785</v>
      </c>
      <c r="C161" s="6" t="s">
        <v>459</v>
      </c>
      <c r="D161" s="78" t="s">
        <v>460</v>
      </c>
      <c r="E161" s="6" t="s">
        <v>18</v>
      </c>
      <c r="F161" s="17">
        <f>6.4+11+8</f>
        <v>25.4</v>
      </c>
      <c r="G161" s="279" t="s">
        <v>575</v>
      </c>
      <c r="H161" s="280"/>
    </row>
    <row r="162" spans="1:8" ht="29.25">
      <c r="A162" s="52" t="s">
        <v>321</v>
      </c>
      <c r="B162" s="53" t="s">
        <v>785</v>
      </c>
      <c r="C162" s="6" t="s">
        <v>316</v>
      </c>
      <c r="D162" s="78" t="s">
        <v>317</v>
      </c>
      <c r="E162" s="6" t="s">
        <v>18</v>
      </c>
      <c r="F162" s="17">
        <f>(2.5*2)+(5.5*2)+3+4.5</f>
        <v>23.5</v>
      </c>
      <c r="G162" s="279" t="s">
        <v>576</v>
      </c>
      <c r="H162" s="280"/>
    </row>
    <row r="163" spans="1:8" ht="29.25">
      <c r="A163" s="52" t="s">
        <v>324</v>
      </c>
      <c r="B163" s="53" t="s">
        <v>785</v>
      </c>
      <c r="C163" s="6" t="s">
        <v>461</v>
      </c>
      <c r="D163" s="78" t="s">
        <v>462</v>
      </c>
      <c r="E163" s="6" t="s">
        <v>18</v>
      </c>
      <c r="F163" s="17">
        <f>(10+4.8+4.8+4+3)</f>
        <v>26.6</v>
      </c>
      <c r="G163" s="279" t="s">
        <v>577</v>
      </c>
      <c r="H163" s="280"/>
    </row>
    <row r="164" spans="1:8" ht="29.25">
      <c r="A164" s="52" t="s">
        <v>327</v>
      </c>
      <c r="B164" s="53" t="s">
        <v>785</v>
      </c>
      <c r="C164" s="6" t="s">
        <v>319</v>
      </c>
      <c r="D164" s="78" t="s">
        <v>320</v>
      </c>
      <c r="E164" s="6" t="s">
        <v>18</v>
      </c>
      <c r="F164" s="17">
        <f>(1.4*15)+7.2+6.4+15+9.9</f>
        <v>59.5</v>
      </c>
      <c r="G164" s="279" t="s">
        <v>578</v>
      </c>
      <c r="H164" s="280"/>
    </row>
    <row r="165" spans="1:8">
      <c r="A165" s="52" t="s">
        <v>330</v>
      </c>
      <c r="B165" s="53" t="s">
        <v>785</v>
      </c>
      <c r="C165" s="6" t="s">
        <v>322</v>
      </c>
      <c r="D165" s="78" t="s">
        <v>323</v>
      </c>
      <c r="E165" s="6" t="s">
        <v>37</v>
      </c>
      <c r="F165" s="17">
        <v>7</v>
      </c>
      <c r="G165" s="277" t="s">
        <v>603</v>
      </c>
      <c r="H165" s="278"/>
    </row>
    <row r="166" spans="1:8">
      <c r="A166" s="52" t="s">
        <v>463</v>
      </c>
      <c r="B166" s="53" t="s">
        <v>785</v>
      </c>
      <c r="C166" s="6" t="s">
        <v>325</v>
      </c>
      <c r="D166" s="78" t="s">
        <v>465</v>
      </c>
      <c r="E166" s="6" t="s">
        <v>37</v>
      </c>
      <c r="F166" s="17">
        <v>4</v>
      </c>
      <c r="G166" s="279" t="s">
        <v>579</v>
      </c>
      <c r="H166" s="280"/>
    </row>
    <row r="167" spans="1:8">
      <c r="A167" s="52" t="s">
        <v>464</v>
      </c>
      <c r="B167" s="53" t="s">
        <v>785</v>
      </c>
      <c r="C167" s="6" t="s">
        <v>467</v>
      </c>
      <c r="D167" s="78" t="s">
        <v>468</v>
      </c>
      <c r="E167" s="6" t="s">
        <v>37</v>
      </c>
      <c r="F167" s="17">
        <v>2</v>
      </c>
      <c r="G167" s="279" t="s">
        <v>580</v>
      </c>
      <c r="H167" s="280"/>
    </row>
    <row r="168" spans="1:8">
      <c r="A168" s="52" t="s">
        <v>466</v>
      </c>
      <c r="B168" s="53" t="s">
        <v>785</v>
      </c>
      <c r="C168" s="6" t="s">
        <v>328</v>
      </c>
      <c r="D168" s="78" t="s">
        <v>329</v>
      </c>
      <c r="E168" s="6" t="s">
        <v>37</v>
      </c>
      <c r="F168" s="17">
        <v>5</v>
      </c>
      <c r="G168" s="277" t="s">
        <v>581</v>
      </c>
      <c r="H168" s="278"/>
    </row>
    <row r="169" spans="1:8" ht="29.25">
      <c r="A169" s="52" t="s">
        <v>469</v>
      </c>
      <c r="B169" s="53" t="s">
        <v>785</v>
      </c>
      <c r="C169" s="6" t="s">
        <v>331</v>
      </c>
      <c r="D169" s="78" t="s">
        <v>332</v>
      </c>
      <c r="E169" s="6" t="s">
        <v>37</v>
      </c>
      <c r="F169" s="17">
        <v>2</v>
      </c>
      <c r="G169" s="277" t="s">
        <v>582</v>
      </c>
      <c r="H169" s="278"/>
    </row>
    <row r="170" spans="1:8">
      <c r="A170" s="52" t="s">
        <v>470</v>
      </c>
      <c r="B170" s="53" t="s">
        <v>785</v>
      </c>
      <c r="C170" s="6" t="s">
        <v>472</v>
      </c>
      <c r="D170" s="78" t="s">
        <v>473</v>
      </c>
      <c r="E170" s="6" t="s">
        <v>37</v>
      </c>
      <c r="F170" s="17">
        <v>17</v>
      </c>
      <c r="G170" s="277" t="s">
        <v>583</v>
      </c>
      <c r="H170" s="278"/>
    </row>
    <row r="171" spans="1:8" ht="29.25">
      <c r="A171" s="52" t="s">
        <v>471</v>
      </c>
      <c r="B171" s="53" t="s">
        <v>785</v>
      </c>
      <c r="C171" s="6" t="s">
        <v>693</v>
      </c>
      <c r="D171" s="78" t="s">
        <v>692</v>
      </c>
      <c r="E171" s="6" t="s">
        <v>37</v>
      </c>
      <c r="F171" s="17">
        <v>2</v>
      </c>
      <c r="G171" s="277" t="s">
        <v>585</v>
      </c>
      <c r="H171" s="278"/>
    </row>
    <row r="172" spans="1:8">
      <c r="A172" s="52" t="s">
        <v>474</v>
      </c>
      <c r="B172" s="53" t="s">
        <v>785</v>
      </c>
      <c r="C172" s="6" t="s">
        <v>501</v>
      </c>
      <c r="D172" s="78" t="s">
        <v>500</v>
      </c>
      <c r="E172" s="6" t="s">
        <v>37</v>
      </c>
      <c r="F172" s="17">
        <v>8</v>
      </c>
      <c r="G172" s="279" t="s">
        <v>584</v>
      </c>
      <c r="H172" s="280"/>
    </row>
    <row r="173" spans="1:8">
      <c r="A173" s="52" t="s">
        <v>502</v>
      </c>
      <c r="B173" s="53" t="s">
        <v>785</v>
      </c>
      <c r="C173" s="6" t="s">
        <v>499</v>
      </c>
      <c r="D173" s="78" t="s">
        <v>498</v>
      </c>
      <c r="E173" s="6" t="s">
        <v>37</v>
      </c>
      <c r="F173" s="17">
        <v>8</v>
      </c>
      <c r="G173" s="279" t="s">
        <v>586</v>
      </c>
      <c r="H173" s="280"/>
    </row>
    <row r="174" spans="1:8">
      <c r="A174" s="52" t="s">
        <v>503</v>
      </c>
      <c r="B174" s="53" t="s">
        <v>785</v>
      </c>
      <c r="C174" s="6" t="s">
        <v>505</v>
      </c>
      <c r="D174" s="78" t="s">
        <v>504</v>
      </c>
      <c r="E174" s="6" t="s">
        <v>37</v>
      </c>
      <c r="F174" s="17">
        <v>4</v>
      </c>
      <c r="G174" s="279" t="s">
        <v>587</v>
      </c>
      <c r="H174" s="280"/>
    </row>
    <row r="175" spans="1:8">
      <c r="A175" s="52"/>
      <c r="B175" s="6"/>
      <c r="C175" s="6"/>
      <c r="D175" s="74"/>
      <c r="E175" s="6"/>
      <c r="F175" s="17"/>
      <c r="G175" s="279"/>
      <c r="H175" s="280"/>
    </row>
    <row r="176" spans="1:8">
      <c r="A176" s="38">
        <v>15</v>
      </c>
      <c r="B176" s="12"/>
      <c r="C176" s="12"/>
      <c r="D176" s="7" t="s">
        <v>334</v>
      </c>
      <c r="E176" s="12"/>
      <c r="F176" s="12"/>
      <c r="G176" s="283"/>
      <c r="H176" s="284"/>
    </row>
    <row r="177" spans="1:8">
      <c r="A177" s="97" t="s">
        <v>335</v>
      </c>
      <c r="B177" s="53" t="s">
        <v>785</v>
      </c>
      <c r="C177" s="6" t="s">
        <v>336</v>
      </c>
      <c r="D177" s="78" t="s">
        <v>337</v>
      </c>
      <c r="E177" s="6" t="s">
        <v>37</v>
      </c>
      <c r="F177" s="6">
        <v>2</v>
      </c>
      <c r="G177" s="277" t="s">
        <v>588</v>
      </c>
      <c r="H177" s="278"/>
    </row>
    <row r="178" spans="1:8">
      <c r="A178" s="97" t="s">
        <v>338</v>
      </c>
      <c r="B178" s="53" t="s">
        <v>785</v>
      </c>
      <c r="C178" s="6" t="s">
        <v>339</v>
      </c>
      <c r="D178" s="78" t="s">
        <v>340</v>
      </c>
      <c r="E178" s="6" t="s">
        <v>37</v>
      </c>
      <c r="F178" s="6">
        <v>2</v>
      </c>
      <c r="G178" s="277" t="s">
        <v>588</v>
      </c>
      <c r="H178" s="278"/>
    </row>
    <row r="179" spans="1:8" ht="29.25">
      <c r="A179" s="97" t="s">
        <v>341</v>
      </c>
      <c r="B179" s="53" t="s">
        <v>785</v>
      </c>
      <c r="C179" s="6" t="s">
        <v>342</v>
      </c>
      <c r="D179" s="78" t="s">
        <v>343</v>
      </c>
      <c r="E179" s="6" t="s">
        <v>37</v>
      </c>
      <c r="F179" s="6">
        <v>5</v>
      </c>
      <c r="G179" s="277" t="s">
        <v>588</v>
      </c>
      <c r="H179" s="278"/>
    </row>
    <row r="180" spans="1:8" ht="28.5">
      <c r="A180" s="97" t="s">
        <v>344</v>
      </c>
      <c r="B180" s="53" t="s">
        <v>785</v>
      </c>
      <c r="C180" s="6" t="s">
        <v>793</v>
      </c>
      <c r="D180" s="82" t="s">
        <v>345</v>
      </c>
      <c r="E180" s="6" t="s">
        <v>37</v>
      </c>
      <c r="F180" s="6">
        <v>4</v>
      </c>
      <c r="G180" s="279" t="s">
        <v>589</v>
      </c>
      <c r="H180" s="280"/>
    </row>
    <row r="181" spans="1:8" ht="29.25">
      <c r="A181" s="97" t="s">
        <v>475</v>
      </c>
      <c r="B181" s="53" t="s">
        <v>785</v>
      </c>
      <c r="C181" s="6" t="s">
        <v>476</v>
      </c>
      <c r="D181" s="78" t="s">
        <v>477</v>
      </c>
      <c r="E181" s="6" t="s">
        <v>16</v>
      </c>
      <c r="F181" s="17">
        <f>(4*0.25)</f>
        <v>1</v>
      </c>
      <c r="G181" s="279" t="s">
        <v>590</v>
      </c>
      <c r="H181" s="280"/>
    </row>
    <row r="182" spans="1:8" ht="29.25">
      <c r="A182" s="97" t="s">
        <v>478</v>
      </c>
      <c r="B182" s="53" t="s">
        <v>785</v>
      </c>
      <c r="C182" s="6" t="s">
        <v>479</v>
      </c>
      <c r="D182" s="78" t="s">
        <v>480</v>
      </c>
      <c r="E182" s="6" t="s">
        <v>16</v>
      </c>
      <c r="F182" s="17">
        <f>ROUND(1.5*0.25,2)</f>
        <v>0.38</v>
      </c>
      <c r="G182" s="279" t="s">
        <v>591</v>
      </c>
      <c r="H182" s="280"/>
    </row>
    <row r="183" spans="1:8" ht="29.25">
      <c r="A183" s="52" t="s">
        <v>481</v>
      </c>
      <c r="B183" s="53" t="s">
        <v>785</v>
      </c>
      <c r="C183" s="6" t="s">
        <v>482</v>
      </c>
      <c r="D183" s="78" t="s">
        <v>483</v>
      </c>
      <c r="E183" s="6" t="s">
        <v>294</v>
      </c>
      <c r="F183" s="17">
        <v>2</v>
      </c>
      <c r="G183" s="279" t="s">
        <v>592</v>
      </c>
      <c r="H183" s="280"/>
    </row>
    <row r="184" spans="1:8">
      <c r="A184" s="97"/>
      <c r="B184" s="6"/>
      <c r="C184" s="6"/>
      <c r="D184" s="71"/>
      <c r="E184" s="6"/>
      <c r="F184" s="17"/>
      <c r="G184" s="279"/>
      <c r="H184" s="280"/>
    </row>
    <row r="185" spans="1:8">
      <c r="A185" s="155">
        <v>16</v>
      </c>
      <c r="B185" s="13"/>
      <c r="C185" s="13"/>
      <c r="D185" s="154" t="s">
        <v>799</v>
      </c>
      <c r="E185" s="13"/>
      <c r="F185" s="153"/>
      <c r="G185" s="151"/>
      <c r="H185" s="152"/>
    </row>
    <row r="186" spans="1:8">
      <c r="A186" s="53" t="s">
        <v>484</v>
      </c>
      <c r="B186" s="53" t="s">
        <v>785</v>
      </c>
      <c r="C186" s="32" t="s">
        <v>805</v>
      </c>
      <c r="D186" s="158" t="s">
        <v>804</v>
      </c>
      <c r="E186" s="32" t="s">
        <v>16</v>
      </c>
      <c r="F186" s="42">
        <v>151.57</v>
      </c>
      <c r="G186" s="277" t="s">
        <v>807</v>
      </c>
      <c r="H186" s="278"/>
    </row>
    <row r="187" spans="1:8">
      <c r="A187" s="52" t="s">
        <v>803</v>
      </c>
      <c r="B187" s="53" t="s">
        <v>785</v>
      </c>
      <c r="C187" s="6" t="s">
        <v>802</v>
      </c>
      <c r="D187" s="73" t="s">
        <v>801</v>
      </c>
      <c r="E187" s="6" t="s">
        <v>16</v>
      </c>
      <c r="F187" s="17">
        <v>151.57</v>
      </c>
      <c r="G187" s="277" t="s">
        <v>807</v>
      </c>
      <c r="H187" s="278"/>
    </row>
    <row r="188" spans="1:8">
      <c r="A188" s="97"/>
      <c r="B188" s="6"/>
      <c r="C188" s="6"/>
      <c r="D188" s="71"/>
      <c r="E188" s="6"/>
      <c r="F188" s="17"/>
      <c r="G188" s="279"/>
      <c r="H188" s="280"/>
    </row>
    <row r="189" spans="1:8">
      <c r="A189" s="38">
        <v>17</v>
      </c>
      <c r="B189" s="12"/>
      <c r="C189" s="12"/>
      <c r="D189" s="7" t="s">
        <v>347</v>
      </c>
      <c r="E189" s="12"/>
      <c r="F189" s="12"/>
      <c r="G189" s="283"/>
      <c r="H189" s="284"/>
    </row>
    <row r="190" spans="1:8">
      <c r="A190" s="52" t="s">
        <v>800</v>
      </c>
      <c r="B190" s="53" t="s">
        <v>785</v>
      </c>
      <c r="C190" s="6" t="s">
        <v>348</v>
      </c>
      <c r="D190" s="1" t="s">
        <v>349</v>
      </c>
      <c r="E190" s="6" t="s">
        <v>16</v>
      </c>
      <c r="F190" s="17">
        <v>113.36</v>
      </c>
      <c r="G190" s="279" t="s">
        <v>601</v>
      </c>
      <c r="H190" s="280"/>
    </row>
    <row r="191" spans="1:8">
      <c r="A191" s="99"/>
      <c r="B191" s="30"/>
      <c r="C191" s="30"/>
      <c r="D191" s="30"/>
      <c r="E191" s="30"/>
      <c r="F191" s="30"/>
      <c r="G191" s="297"/>
      <c r="H191" s="298"/>
    </row>
    <row r="192" spans="1:8" ht="30">
      <c r="A192" s="38" t="s">
        <v>40</v>
      </c>
      <c r="B192" s="7"/>
      <c r="C192" s="7"/>
      <c r="D192" s="27" t="s">
        <v>350</v>
      </c>
      <c r="E192" s="12"/>
      <c r="F192" s="18"/>
      <c r="G192" s="283"/>
      <c r="H192" s="284"/>
    </row>
    <row r="193" spans="1:8">
      <c r="A193" s="38">
        <v>1</v>
      </c>
      <c r="B193" s="2"/>
      <c r="C193" s="2"/>
      <c r="D193" s="10" t="s">
        <v>73</v>
      </c>
      <c r="E193" s="2"/>
      <c r="F193" s="2"/>
      <c r="G193" s="299"/>
      <c r="H193" s="300"/>
    </row>
    <row r="194" spans="1:8" ht="28.5">
      <c r="A194" s="53" t="s">
        <v>9</v>
      </c>
      <c r="B194" s="53" t="s">
        <v>785</v>
      </c>
      <c r="C194" s="32" t="s">
        <v>75</v>
      </c>
      <c r="D194" s="29" t="s">
        <v>752</v>
      </c>
      <c r="E194" s="32" t="s">
        <v>16</v>
      </c>
      <c r="F194" s="42">
        <v>57.91</v>
      </c>
      <c r="G194" s="281" t="s">
        <v>604</v>
      </c>
      <c r="H194" s="282"/>
    </row>
    <row r="195" spans="1:8" ht="28.5">
      <c r="A195" s="53" t="s">
        <v>23</v>
      </c>
      <c r="B195" s="53" t="s">
        <v>785</v>
      </c>
      <c r="C195" s="53" t="s">
        <v>768</v>
      </c>
      <c r="D195" s="29" t="s">
        <v>769</v>
      </c>
      <c r="E195" s="53" t="s">
        <v>17</v>
      </c>
      <c r="F195" s="42">
        <f>(0.5*0.5*0.5*12)*(1.3)</f>
        <v>1.9500000000000002</v>
      </c>
      <c r="G195" s="281" t="s">
        <v>770</v>
      </c>
      <c r="H195" s="282"/>
    </row>
    <row r="196" spans="1:8">
      <c r="A196" s="52" t="s">
        <v>51</v>
      </c>
      <c r="B196" s="53" t="s">
        <v>785</v>
      </c>
      <c r="C196" s="52" t="s">
        <v>77</v>
      </c>
      <c r="D196" s="22" t="s">
        <v>78</v>
      </c>
      <c r="E196" s="6" t="s">
        <v>17</v>
      </c>
      <c r="F196" s="70">
        <f>(57.91*0.2)</f>
        <v>11.582000000000001</v>
      </c>
      <c r="G196" s="279" t="s">
        <v>605</v>
      </c>
      <c r="H196" s="280"/>
    </row>
    <row r="197" spans="1:8">
      <c r="A197" s="52" t="s">
        <v>62</v>
      </c>
      <c r="B197" s="53" t="s">
        <v>785</v>
      </c>
      <c r="C197" s="52" t="s">
        <v>79</v>
      </c>
      <c r="D197" s="22" t="s">
        <v>80</v>
      </c>
      <c r="E197" s="6" t="s">
        <v>16</v>
      </c>
      <c r="F197" s="70">
        <f>7.61*7.61</f>
        <v>57.912100000000002</v>
      </c>
      <c r="G197" s="281" t="s">
        <v>604</v>
      </c>
      <c r="H197" s="282"/>
    </row>
    <row r="198" spans="1:8">
      <c r="A198" s="52" t="s">
        <v>354</v>
      </c>
      <c r="B198" s="53" t="s">
        <v>785</v>
      </c>
      <c r="C198" s="52" t="s">
        <v>81</v>
      </c>
      <c r="D198" s="22" t="s">
        <v>82</v>
      </c>
      <c r="E198" s="6" t="s">
        <v>83</v>
      </c>
      <c r="F198" s="70">
        <v>3</v>
      </c>
      <c r="G198" s="279" t="s">
        <v>606</v>
      </c>
      <c r="H198" s="280"/>
    </row>
    <row r="199" spans="1:8">
      <c r="A199" s="52"/>
      <c r="B199" s="53"/>
      <c r="C199" s="6"/>
      <c r="D199" s="71"/>
      <c r="E199" s="6"/>
      <c r="F199" s="17"/>
      <c r="G199" s="279"/>
      <c r="H199" s="280"/>
    </row>
    <row r="200" spans="1:8">
      <c r="A200" s="38">
        <v>2</v>
      </c>
      <c r="B200" s="94"/>
      <c r="C200" s="7"/>
      <c r="D200" s="10" t="s">
        <v>84</v>
      </c>
      <c r="E200" s="12"/>
      <c r="F200" s="12"/>
      <c r="G200" s="283"/>
      <c r="H200" s="284"/>
    </row>
    <row r="201" spans="1:8">
      <c r="A201" s="52" t="s">
        <v>59</v>
      </c>
      <c r="B201" s="53" t="s">
        <v>785</v>
      </c>
      <c r="C201" s="6" t="s">
        <v>85</v>
      </c>
      <c r="D201" s="22" t="s">
        <v>86</v>
      </c>
      <c r="E201" s="6" t="s">
        <v>18</v>
      </c>
      <c r="F201" s="17">
        <f>12*9</f>
        <v>108</v>
      </c>
      <c r="G201" s="279" t="s">
        <v>607</v>
      </c>
      <c r="H201" s="280"/>
    </row>
    <row r="202" spans="1:8">
      <c r="A202" s="52" t="s">
        <v>72</v>
      </c>
      <c r="B202" s="53" t="s">
        <v>785</v>
      </c>
      <c r="C202" s="6" t="s">
        <v>87</v>
      </c>
      <c r="D202" s="22" t="s">
        <v>88</v>
      </c>
      <c r="E202" s="6" t="s">
        <v>17</v>
      </c>
      <c r="F202" s="17">
        <f>(0.049*9*12)</f>
        <v>5.2919999999999998</v>
      </c>
      <c r="G202" s="279" t="s">
        <v>608</v>
      </c>
      <c r="H202" s="280"/>
    </row>
    <row r="203" spans="1:8">
      <c r="A203" s="52" t="s">
        <v>89</v>
      </c>
      <c r="B203" s="53" t="s">
        <v>785</v>
      </c>
      <c r="C203" s="6" t="s">
        <v>90</v>
      </c>
      <c r="D203" s="22" t="s">
        <v>91</v>
      </c>
      <c r="E203" s="6" t="s">
        <v>17</v>
      </c>
      <c r="F203" s="17">
        <f>(0.3*0.2*25.3)</f>
        <v>1.518</v>
      </c>
      <c r="G203" s="279" t="s">
        <v>609</v>
      </c>
      <c r="H203" s="280"/>
    </row>
    <row r="204" spans="1:8">
      <c r="A204" s="52" t="s">
        <v>92</v>
      </c>
      <c r="B204" s="53" t="s">
        <v>785</v>
      </c>
      <c r="C204" s="6" t="s">
        <v>93</v>
      </c>
      <c r="D204" s="22" t="s">
        <v>94</v>
      </c>
      <c r="E204" s="6" t="s">
        <v>17</v>
      </c>
      <c r="F204" s="17">
        <f>25.3*0.3*0.2</f>
        <v>1.518</v>
      </c>
      <c r="G204" s="279" t="s">
        <v>609</v>
      </c>
      <c r="H204" s="280"/>
    </row>
    <row r="205" spans="1:8">
      <c r="A205" s="52" t="s">
        <v>95</v>
      </c>
      <c r="B205" s="53" t="s">
        <v>785</v>
      </c>
      <c r="C205" s="6" t="s">
        <v>96</v>
      </c>
      <c r="D205" s="22" t="s">
        <v>97</v>
      </c>
      <c r="E205" s="6" t="s">
        <v>98</v>
      </c>
      <c r="F205" s="17">
        <f>F204*80*0.8</f>
        <v>97.152000000000001</v>
      </c>
      <c r="G205" s="279" t="s">
        <v>610</v>
      </c>
      <c r="H205" s="280"/>
    </row>
    <row r="206" spans="1:8">
      <c r="A206" s="52" t="s">
        <v>99</v>
      </c>
      <c r="B206" s="53" t="s">
        <v>785</v>
      </c>
      <c r="C206" s="6" t="s">
        <v>100</v>
      </c>
      <c r="D206" s="22" t="s">
        <v>101</v>
      </c>
      <c r="E206" s="6" t="s">
        <v>98</v>
      </c>
      <c r="F206" s="17">
        <f>F204*80*0.2</f>
        <v>24.288</v>
      </c>
      <c r="G206" s="279" t="s">
        <v>611</v>
      </c>
      <c r="H206" s="280"/>
    </row>
    <row r="207" spans="1:8">
      <c r="A207" s="52">
        <v>2.7</v>
      </c>
      <c r="B207" s="53" t="s">
        <v>785</v>
      </c>
      <c r="C207" s="6" t="s">
        <v>102</v>
      </c>
      <c r="D207" s="134" t="s">
        <v>103</v>
      </c>
      <c r="E207" s="6" t="s">
        <v>16</v>
      </c>
      <c r="F207" s="17">
        <f>25.3*0.6</f>
        <v>15.18</v>
      </c>
      <c r="G207" s="279" t="s">
        <v>612</v>
      </c>
      <c r="H207" s="280"/>
    </row>
    <row r="208" spans="1:8">
      <c r="A208" s="52" t="s">
        <v>104</v>
      </c>
      <c r="B208" s="53" t="s">
        <v>785</v>
      </c>
      <c r="C208" s="6" t="s">
        <v>90</v>
      </c>
      <c r="D208" s="22" t="s">
        <v>105</v>
      </c>
      <c r="E208" s="6" t="s">
        <v>17</v>
      </c>
      <c r="F208" s="17">
        <f>(0.5*0.5*0.5*12)</f>
        <v>1.5</v>
      </c>
      <c r="G208" s="279" t="s">
        <v>613</v>
      </c>
      <c r="H208" s="280"/>
    </row>
    <row r="209" spans="1:8">
      <c r="A209" s="52" t="s">
        <v>106</v>
      </c>
      <c r="B209" s="53" t="s">
        <v>785</v>
      </c>
      <c r="C209" s="6" t="s">
        <v>96</v>
      </c>
      <c r="D209" s="22" t="s">
        <v>109</v>
      </c>
      <c r="E209" s="6" t="s">
        <v>98</v>
      </c>
      <c r="F209" s="17">
        <f>F208*80*0.8</f>
        <v>96</v>
      </c>
      <c r="G209" s="279" t="s">
        <v>615</v>
      </c>
      <c r="H209" s="280"/>
    </row>
    <row r="210" spans="1:8">
      <c r="A210" s="52" t="s">
        <v>108</v>
      </c>
      <c r="B210" s="53" t="s">
        <v>785</v>
      </c>
      <c r="C210" s="6" t="s">
        <v>100</v>
      </c>
      <c r="D210" s="22" t="s">
        <v>111</v>
      </c>
      <c r="E210" s="6" t="s">
        <v>98</v>
      </c>
      <c r="F210" s="17">
        <f>F208*80*0.2</f>
        <v>24</v>
      </c>
      <c r="G210" s="279" t="s">
        <v>614</v>
      </c>
      <c r="H210" s="280"/>
    </row>
    <row r="211" spans="1:8">
      <c r="A211" s="52" t="s">
        <v>110</v>
      </c>
      <c r="B211" s="53" t="s">
        <v>785</v>
      </c>
      <c r="C211" s="6" t="s">
        <v>140</v>
      </c>
      <c r="D211" s="22" t="s">
        <v>362</v>
      </c>
      <c r="E211" s="6" t="s">
        <v>17</v>
      </c>
      <c r="F211" s="17">
        <v>1.5</v>
      </c>
      <c r="G211" s="279" t="s">
        <v>613</v>
      </c>
      <c r="H211" s="280"/>
    </row>
    <row r="212" spans="1:8">
      <c r="A212" s="52" t="s">
        <v>112</v>
      </c>
      <c r="B212" s="53" t="s">
        <v>785</v>
      </c>
      <c r="C212" s="6" t="s">
        <v>113</v>
      </c>
      <c r="D212" s="22" t="s">
        <v>114</v>
      </c>
      <c r="E212" s="6" t="s">
        <v>17</v>
      </c>
      <c r="F212" s="17">
        <f>(0.5*0.5*0.03*12)+(25.3*0.2*0.03)</f>
        <v>0.24180000000000001</v>
      </c>
      <c r="G212" s="279" t="s">
        <v>616</v>
      </c>
      <c r="H212" s="280"/>
    </row>
    <row r="213" spans="1:8" ht="29.25">
      <c r="A213" s="52" t="s">
        <v>115</v>
      </c>
      <c r="B213" s="53" t="s">
        <v>785</v>
      </c>
      <c r="C213" s="6" t="s">
        <v>116</v>
      </c>
      <c r="D213" s="22" t="s">
        <v>117</v>
      </c>
      <c r="E213" s="6" t="s">
        <v>16</v>
      </c>
      <c r="F213" s="17">
        <f>25.3*0.8</f>
        <v>20.240000000000002</v>
      </c>
      <c r="G213" s="279" t="s">
        <v>617</v>
      </c>
      <c r="H213" s="280"/>
    </row>
    <row r="214" spans="1:8">
      <c r="A214" s="52" t="s">
        <v>118</v>
      </c>
      <c r="B214" s="53" t="s">
        <v>785</v>
      </c>
      <c r="C214" s="6" t="s">
        <v>119</v>
      </c>
      <c r="D214" s="22" t="s">
        <v>120</v>
      </c>
      <c r="E214" s="6" t="s">
        <v>17</v>
      </c>
      <c r="F214" s="17">
        <f>20.24*0.015</f>
        <v>0.30359999999999998</v>
      </c>
      <c r="G214" s="279" t="s">
        <v>618</v>
      </c>
      <c r="H214" s="280"/>
    </row>
    <row r="215" spans="1:8">
      <c r="A215" s="52" t="s">
        <v>121</v>
      </c>
      <c r="B215" s="53" t="s">
        <v>785</v>
      </c>
      <c r="C215" s="6" t="s">
        <v>122</v>
      </c>
      <c r="D215" s="22" t="s">
        <v>123</v>
      </c>
      <c r="E215" s="6" t="s">
        <v>16</v>
      </c>
      <c r="F215" s="17">
        <f>0.5*0.5*8</f>
        <v>2</v>
      </c>
      <c r="G215" s="279" t="s">
        <v>619</v>
      </c>
      <c r="H215" s="280"/>
    </row>
    <row r="216" spans="1:8">
      <c r="A216" s="52"/>
      <c r="B216" s="6"/>
      <c r="C216" s="72"/>
      <c r="D216" s="71"/>
      <c r="E216" s="6"/>
      <c r="F216" s="17"/>
      <c r="G216" s="279"/>
      <c r="H216" s="280"/>
    </row>
    <row r="217" spans="1:8">
      <c r="A217" s="38">
        <v>3</v>
      </c>
      <c r="B217" s="7"/>
      <c r="C217" s="7"/>
      <c r="D217" s="10" t="s">
        <v>125</v>
      </c>
      <c r="E217" s="12"/>
      <c r="F217" s="12"/>
      <c r="G217" s="283"/>
      <c r="H217" s="284"/>
    </row>
    <row r="218" spans="1:8">
      <c r="A218" s="52" t="s">
        <v>10</v>
      </c>
      <c r="B218" s="53" t="s">
        <v>785</v>
      </c>
      <c r="C218" s="6" t="s">
        <v>90</v>
      </c>
      <c r="D218" s="22" t="s">
        <v>126</v>
      </c>
      <c r="E218" s="6" t="s">
        <v>17</v>
      </c>
      <c r="F218" s="17">
        <f>(0.15*0.25*6*6)+(0.15*0.35*6*4)</f>
        <v>2.61</v>
      </c>
      <c r="G218" s="279" t="s">
        <v>626</v>
      </c>
      <c r="H218" s="280"/>
    </row>
    <row r="219" spans="1:8">
      <c r="A219" s="52" t="s">
        <v>127</v>
      </c>
      <c r="B219" s="53" t="s">
        <v>785</v>
      </c>
      <c r="C219" s="6" t="s">
        <v>96</v>
      </c>
      <c r="D219" s="73" t="s">
        <v>128</v>
      </c>
      <c r="E219" s="6" t="s">
        <v>98</v>
      </c>
      <c r="F219" s="17">
        <f>2.61*80*0.8</f>
        <v>167.04</v>
      </c>
      <c r="G219" s="279" t="s">
        <v>620</v>
      </c>
      <c r="H219" s="280"/>
    </row>
    <row r="220" spans="1:8">
      <c r="A220" s="52" t="s">
        <v>129</v>
      </c>
      <c r="B220" s="53" t="s">
        <v>785</v>
      </c>
      <c r="C220" s="6" t="s">
        <v>100</v>
      </c>
      <c r="D220" s="73" t="s">
        <v>130</v>
      </c>
      <c r="E220" s="6" t="s">
        <v>98</v>
      </c>
      <c r="F220" s="17">
        <f>F218*80*0.2</f>
        <v>41.76</v>
      </c>
      <c r="G220" s="279" t="s">
        <v>621</v>
      </c>
      <c r="H220" s="280"/>
    </row>
    <row r="221" spans="1:8">
      <c r="A221" s="52" t="s">
        <v>131</v>
      </c>
      <c r="B221" s="53" t="s">
        <v>785</v>
      </c>
      <c r="C221" s="6" t="s">
        <v>93</v>
      </c>
      <c r="D221" s="22" t="s">
        <v>132</v>
      </c>
      <c r="E221" s="6" t="s">
        <v>17</v>
      </c>
      <c r="F221" s="17">
        <f>F218</f>
        <v>2.61</v>
      </c>
      <c r="G221" s="279" t="s">
        <v>626</v>
      </c>
      <c r="H221" s="280"/>
    </row>
    <row r="222" spans="1:8" ht="29.25">
      <c r="A222" s="52" t="s">
        <v>133</v>
      </c>
      <c r="B222" s="53" t="s">
        <v>785</v>
      </c>
      <c r="C222" s="6" t="s">
        <v>90</v>
      </c>
      <c r="D222" s="22" t="s">
        <v>134</v>
      </c>
      <c r="E222" s="6" t="s">
        <v>17</v>
      </c>
      <c r="F222" s="17">
        <f>(0.15*0.25*10.56)+(0.15*0.24*22.96)+(4.5*1.2*0.15)</f>
        <v>2.0325600000000001</v>
      </c>
      <c r="G222" s="277" t="s">
        <v>839</v>
      </c>
      <c r="H222" s="278"/>
    </row>
    <row r="223" spans="1:8">
      <c r="A223" s="52" t="s">
        <v>135</v>
      </c>
      <c r="B223" s="53" t="s">
        <v>785</v>
      </c>
      <c r="C223" s="6" t="s">
        <v>96</v>
      </c>
      <c r="D223" s="73" t="s">
        <v>136</v>
      </c>
      <c r="E223" s="6" t="s">
        <v>98</v>
      </c>
      <c r="F223" s="17">
        <f>2.03*80*0.8</f>
        <v>129.91999999999999</v>
      </c>
      <c r="G223" s="279" t="s">
        <v>624</v>
      </c>
      <c r="H223" s="280"/>
    </row>
    <row r="224" spans="1:8">
      <c r="A224" s="52" t="s">
        <v>137</v>
      </c>
      <c r="B224" s="53" t="s">
        <v>785</v>
      </c>
      <c r="C224" s="6" t="s">
        <v>100</v>
      </c>
      <c r="D224" s="73" t="s">
        <v>138</v>
      </c>
      <c r="E224" s="6" t="s">
        <v>98</v>
      </c>
      <c r="F224" s="17">
        <f>2.03*80*0.2</f>
        <v>32.479999999999997</v>
      </c>
      <c r="G224" s="279" t="s">
        <v>625</v>
      </c>
      <c r="H224" s="280"/>
    </row>
    <row r="225" spans="1:8">
      <c r="A225" s="52" t="s">
        <v>139</v>
      </c>
      <c r="B225" s="53" t="s">
        <v>785</v>
      </c>
      <c r="C225" s="6" t="s">
        <v>140</v>
      </c>
      <c r="D225" s="22" t="s">
        <v>141</v>
      </c>
      <c r="E225" s="6" t="s">
        <v>17</v>
      </c>
      <c r="F225" s="17">
        <f>2.61+2.03+0.58</f>
        <v>5.22</v>
      </c>
      <c r="G225" s="279" t="s">
        <v>622</v>
      </c>
      <c r="H225" s="280"/>
    </row>
    <row r="226" spans="1:8">
      <c r="A226" s="52" t="s">
        <v>142</v>
      </c>
      <c r="B226" s="53" t="s">
        <v>785</v>
      </c>
      <c r="C226" s="6" t="s">
        <v>143</v>
      </c>
      <c r="D226" s="22" t="s">
        <v>144</v>
      </c>
      <c r="E226" s="6" t="s">
        <v>17</v>
      </c>
      <c r="F226" s="17">
        <f>(21*0.15*0.2)</f>
        <v>0.63</v>
      </c>
      <c r="G226" s="279" t="s">
        <v>623</v>
      </c>
      <c r="H226" s="280"/>
    </row>
    <row r="227" spans="1:8" ht="29.25">
      <c r="A227" s="52" t="s">
        <v>145</v>
      </c>
      <c r="B227" s="53" t="s">
        <v>785</v>
      </c>
      <c r="C227" s="6" t="s">
        <v>774</v>
      </c>
      <c r="D227" s="73" t="s">
        <v>773</v>
      </c>
      <c r="E227" s="6" t="s">
        <v>16</v>
      </c>
      <c r="F227" s="17">
        <f>(3.3*1.85)+(4.11*4.11)</f>
        <v>22.997100000000003</v>
      </c>
      <c r="G227" s="279" t="s">
        <v>627</v>
      </c>
      <c r="H227" s="280"/>
    </row>
    <row r="228" spans="1:8" ht="29.25">
      <c r="A228" s="52" t="s">
        <v>146</v>
      </c>
      <c r="B228" s="53" t="s">
        <v>785</v>
      </c>
      <c r="C228" s="6" t="s">
        <v>116</v>
      </c>
      <c r="D228" s="73" t="s">
        <v>855</v>
      </c>
      <c r="E228" s="6" t="s">
        <v>16</v>
      </c>
      <c r="F228" s="17">
        <f>(3.3*1.85)+(4.11*1.1)+(3.01*1.1)</f>
        <v>13.937000000000001</v>
      </c>
      <c r="G228" s="279" t="s">
        <v>840</v>
      </c>
      <c r="H228" s="280"/>
    </row>
    <row r="229" spans="1:8">
      <c r="A229" s="52" t="s">
        <v>147</v>
      </c>
      <c r="B229" s="53" t="s">
        <v>785</v>
      </c>
      <c r="C229" s="6" t="s">
        <v>148</v>
      </c>
      <c r="D229" s="22" t="s">
        <v>149</v>
      </c>
      <c r="E229" s="6" t="s">
        <v>17</v>
      </c>
      <c r="F229" s="17">
        <f>11.63*0.05</f>
        <v>0.58150000000000002</v>
      </c>
      <c r="G229" s="279" t="s">
        <v>628</v>
      </c>
      <c r="H229" s="280"/>
    </row>
    <row r="230" spans="1:8">
      <c r="A230" s="52" t="s">
        <v>150</v>
      </c>
      <c r="B230" s="53" t="s">
        <v>785</v>
      </c>
      <c r="C230" s="6" t="s">
        <v>102</v>
      </c>
      <c r="D230" s="22" t="s">
        <v>151</v>
      </c>
      <c r="E230" s="6" t="s">
        <v>16</v>
      </c>
      <c r="F230" s="17">
        <f>(0.25*2*33.52)+(1.2*4.1)</f>
        <v>21.68</v>
      </c>
      <c r="G230" s="279" t="s">
        <v>629</v>
      </c>
      <c r="H230" s="280"/>
    </row>
    <row r="231" spans="1:8">
      <c r="A231" s="52" t="s">
        <v>152</v>
      </c>
      <c r="B231" s="53" t="s">
        <v>785</v>
      </c>
      <c r="C231" s="6" t="s">
        <v>153</v>
      </c>
      <c r="D231" s="22" t="s">
        <v>154</v>
      </c>
      <c r="E231" s="6" t="s">
        <v>17</v>
      </c>
      <c r="F231" s="17">
        <f>0.1*0.1*6*30</f>
        <v>1.8000000000000003</v>
      </c>
      <c r="G231" s="279" t="s">
        <v>630</v>
      </c>
      <c r="H231" s="280"/>
    </row>
    <row r="232" spans="1:8">
      <c r="A232" s="52"/>
      <c r="B232" s="6"/>
      <c r="C232" s="6"/>
      <c r="D232" s="23"/>
      <c r="E232" s="6"/>
      <c r="F232" s="17"/>
      <c r="G232" s="279"/>
      <c r="H232" s="280"/>
    </row>
    <row r="233" spans="1:8">
      <c r="A233" s="38">
        <v>4</v>
      </c>
      <c r="B233" s="7"/>
      <c r="C233" s="7"/>
      <c r="D233" s="10" t="s">
        <v>155</v>
      </c>
      <c r="E233" s="12"/>
      <c r="F233" s="12"/>
      <c r="G233" s="283"/>
      <c r="H233" s="284"/>
    </row>
    <row r="234" spans="1:8">
      <c r="A234" s="52" t="s">
        <v>11</v>
      </c>
      <c r="B234" s="53" t="s">
        <v>785</v>
      </c>
      <c r="C234" s="6" t="s">
        <v>156</v>
      </c>
      <c r="D234" s="73" t="s">
        <v>157</v>
      </c>
      <c r="E234" s="6" t="s">
        <v>17</v>
      </c>
      <c r="F234" s="17">
        <f>(25.3*0.2*0.2)*1.3</f>
        <v>1.3156000000000003</v>
      </c>
      <c r="G234" s="279" t="s">
        <v>631</v>
      </c>
      <c r="H234" s="280"/>
    </row>
    <row r="235" spans="1:8">
      <c r="A235" s="52" t="s">
        <v>12</v>
      </c>
      <c r="B235" s="53" t="s">
        <v>785</v>
      </c>
      <c r="C235" s="6" t="s">
        <v>158</v>
      </c>
      <c r="D235" s="73" t="s">
        <v>159</v>
      </c>
      <c r="E235" s="6" t="s">
        <v>16</v>
      </c>
      <c r="F235" s="17">
        <f>(25.3*2.6)+(10.56*2.6)+(4.1*2)-11</f>
        <v>90.436000000000007</v>
      </c>
      <c r="G235" s="279" t="s">
        <v>632</v>
      </c>
      <c r="H235" s="280"/>
    </row>
    <row r="236" spans="1:8">
      <c r="A236" s="52" t="s">
        <v>160</v>
      </c>
      <c r="B236" s="53" t="s">
        <v>785</v>
      </c>
      <c r="C236" s="6" t="s">
        <v>119</v>
      </c>
      <c r="D236" s="22" t="s">
        <v>120</v>
      </c>
      <c r="E236" s="6" t="s">
        <v>17</v>
      </c>
      <c r="F236" s="17">
        <f>(25.3*0.6*0.02)</f>
        <v>0.30359999999999998</v>
      </c>
      <c r="G236" s="279" t="s">
        <v>633</v>
      </c>
      <c r="H236" s="280"/>
    </row>
    <row r="237" spans="1:8" ht="29.25">
      <c r="A237" s="52" t="s">
        <v>32</v>
      </c>
      <c r="B237" s="53" t="s">
        <v>785</v>
      </c>
      <c r="C237" s="6" t="s">
        <v>161</v>
      </c>
      <c r="D237" s="73" t="s">
        <v>162</v>
      </c>
      <c r="E237" s="6" t="s">
        <v>16</v>
      </c>
      <c r="F237" s="17">
        <f>(25.3*0.4)</f>
        <v>10.120000000000001</v>
      </c>
      <c r="G237" s="279" t="s">
        <v>634</v>
      </c>
      <c r="H237" s="280"/>
    </row>
    <row r="238" spans="1:8">
      <c r="A238" s="52"/>
      <c r="B238" s="6"/>
      <c r="C238" s="6"/>
      <c r="D238" s="74"/>
      <c r="E238" s="6"/>
      <c r="F238" s="17"/>
      <c r="G238" s="279"/>
      <c r="H238" s="280"/>
    </row>
    <row r="239" spans="1:8">
      <c r="A239" s="38">
        <v>5</v>
      </c>
      <c r="B239" s="7"/>
      <c r="C239" s="12"/>
      <c r="D239" s="10" t="s">
        <v>164</v>
      </c>
      <c r="E239" s="12"/>
      <c r="F239" s="12"/>
      <c r="G239" s="283"/>
      <c r="H239" s="284"/>
    </row>
    <row r="240" spans="1:8">
      <c r="A240" s="52" t="s">
        <v>13</v>
      </c>
      <c r="B240" s="53" t="s">
        <v>785</v>
      </c>
      <c r="C240" s="6" t="s">
        <v>66</v>
      </c>
      <c r="D240" s="21" t="s">
        <v>65</v>
      </c>
      <c r="E240" s="6" t="s">
        <v>16</v>
      </c>
      <c r="F240" s="17">
        <f>27.35*1.077</f>
        <v>29.455950000000001</v>
      </c>
      <c r="G240" s="279" t="s">
        <v>635</v>
      </c>
      <c r="H240" s="280"/>
    </row>
    <row r="241" spans="1:8">
      <c r="A241" s="52" t="s">
        <v>14</v>
      </c>
      <c r="B241" s="53" t="s">
        <v>785</v>
      </c>
      <c r="C241" s="6" t="s">
        <v>165</v>
      </c>
      <c r="D241" s="21" t="s">
        <v>166</v>
      </c>
      <c r="E241" s="6" t="s">
        <v>16</v>
      </c>
      <c r="F241" s="17">
        <f>27.35*1.077</f>
        <v>29.455950000000001</v>
      </c>
      <c r="G241" s="279" t="s">
        <v>635</v>
      </c>
      <c r="H241" s="280"/>
    </row>
    <row r="242" spans="1:8">
      <c r="A242" s="52" t="s">
        <v>15</v>
      </c>
      <c r="B242" s="53" t="s">
        <v>785</v>
      </c>
      <c r="C242" s="6" t="s">
        <v>167</v>
      </c>
      <c r="D242" s="21" t="s">
        <v>168</v>
      </c>
      <c r="E242" s="6" t="s">
        <v>18</v>
      </c>
      <c r="F242" s="17">
        <f>7.4*2*1.077</f>
        <v>15.9396</v>
      </c>
      <c r="G242" s="279" t="s">
        <v>636</v>
      </c>
      <c r="H242" s="280"/>
    </row>
    <row r="243" spans="1:8">
      <c r="A243" s="52"/>
      <c r="B243" s="6"/>
      <c r="C243" s="6"/>
      <c r="D243" s="23"/>
      <c r="E243" s="6"/>
      <c r="F243" s="17"/>
      <c r="G243" s="279"/>
      <c r="H243" s="280"/>
    </row>
    <row r="244" spans="1:8">
      <c r="A244" s="38">
        <v>6</v>
      </c>
      <c r="B244" s="7"/>
      <c r="C244" s="12"/>
      <c r="D244" s="10" t="s">
        <v>170</v>
      </c>
      <c r="E244" s="12"/>
      <c r="F244" s="12"/>
      <c r="G244" s="283"/>
      <c r="H244" s="284"/>
    </row>
    <row r="245" spans="1:8">
      <c r="A245" s="52" t="s">
        <v>33</v>
      </c>
      <c r="B245" s="53" t="s">
        <v>785</v>
      </c>
      <c r="C245" s="6" t="s">
        <v>171</v>
      </c>
      <c r="D245" s="73" t="s">
        <v>172</v>
      </c>
      <c r="E245" s="6" t="s">
        <v>16</v>
      </c>
      <c r="F245" s="17">
        <f>F240</f>
        <v>29.455950000000001</v>
      </c>
      <c r="G245" s="279" t="s">
        <v>635</v>
      </c>
      <c r="H245" s="280"/>
    </row>
    <row r="246" spans="1:8" ht="29.25">
      <c r="A246" s="52" t="s">
        <v>34</v>
      </c>
      <c r="B246" s="53" t="s">
        <v>785</v>
      </c>
      <c r="C246" s="6" t="s">
        <v>173</v>
      </c>
      <c r="D246" s="73" t="s">
        <v>174</v>
      </c>
      <c r="E246" s="6" t="s">
        <v>16</v>
      </c>
      <c r="F246" s="17">
        <f>F245</f>
        <v>29.455950000000001</v>
      </c>
      <c r="G246" s="279" t="s">
        <v>635</v>
      </c>
      <c r="H246" s="280"/>
    </row>
    <row r="247" spans="1:8">
      <c r="A247" s="52"/>
      <c r="B247" s="6"/>
      <c r="C247" s="6"/>
      <c r="D247" s="71"/>
      <c r="E247" s="6"/>
      <c r="F247" s="17"/>
      <c r="G247" s="279"/>
      <c r="H247" s="280"/>
    </row>
    <row r="248" spans="1:8">
      <c r="A248" s="38">
        <v>7</v>
      </c>
      <c r="B248" s="12"/>
      <c r="C248" s="12"/>
      <c r="D248" s="10" t="s">
        <v>176</v>
      </c>
      <c r="E248" s="12"/>
      <c r="F248" s="12"/>
      <c r="G248" s="283"/>
      <c r="H248" s="284"/>
    </row>
    <row r="249" spans="1:8">
      <c r="A249" s="52" t="s">
        <v>177</v>
      </c>
      <c r="B249" s="53" t="s">
        <v>785</v>
      </c>
      <c r="C249" s="6" t="s">
        <v>178</v>
      </c>
      <c r="D249" s="11" t="s">
        <v>179</v>
      </c>
      <c r="E249" s="6" t="s">
        <v>16</v>
      </c>
      <c r="F249" s="17">
        <f>(9.51*2.75)+(10.43*2.75*2)+(18.49*6)+(22.77)+(2.8*1.8)-25.5</f>
        <v>196.76749999999998</v>
      </c>
      <c r="G249" s="277" t="s">
        <v>638</v>
      </c>
      <c r="H249" s="278"/>
    </row>
    <row r="250" spans="1:8">
      <c r="A250" s="52" t="s">
        <v>180</v>
      </c>
      <c r="B250" s="53" t="s">
        <v>785</v>
      </c>
      <c r="C250" s="6" t="s">
        <v>181</v>
      </c>
      <c r="D250" s="21" t="s">
        <v>182</v>
      </c>
      <c r="E250" s="6" t="s">
        <v>16</v>
      </c>
      <c r="F250" s="17">
        <f>F249</f>
        <v>196.76749999999998</v>
      </c>
      <c r="G250" s="277" t="s">
        <v>638</v>
      </c>
      <c r="H250" s="278"/>
    </row>
    <row r="251" spans="1:8" ht="29.25">
      <c r="A251" s="52" t="s">
        <v>183</v>
      </c>
      <c r="B251" s="53" t="s">
        <v>785</v>
      </c>
      <c r="C251" s="6" t="s">
        <v>184</v>
      </c>
      <c r="D251" s="73" t="s">
        <v>185</v>
      </c>
      <c r="E251" s="6" t="s">
        <v>16</v>
      </c>
      <c r="F251" s="17">
        <f>(9.46*2)+(5.28*2)+(5.28*0.9)</f>
        <v>34.232000000000006</v>
      </c>
      <c r="G251" s="279" t="s">
        <v>637</v>
      </c>
      <c r="H251" s="280"/>
    </row>
    <row r="252" spans="1:8">
      <c r="A252" s="52" t="s">
        <v>186</v>
      </c>
      <c r="B252" s="53" t="s">
        <v>785</v>
      </c>
      <c r="C252" s="6" t="s">
        <v>187</v>
      </c>
      <c r="D252" s="75" t="s">
        <v>188</v>
      </c>
      <c r="E252" s="6" t="s">
        <v>16</v>
      </c>
      <c r="F252" s="17">
        <f>(17.96*0.9)-(0.8*0.9*2)</f>
        <v>14.724000000000002</v>
      </c>
      <c r="G252" s="279" t="s">
        <v>639</v>
      </c>
      <c r="H252" s="280"/>
    </row>
    <row r="253" spans="1:8" ht="29.25">
      <c r="A253" s="52" t="s">
        <v>189</v>
      </c>
      <c r="B253" s="53" t="s">
        <v>785</v>
      </c>
      <c r="C253" s="6" t="s">
        <v>794</v>
      </c>
      <c r="D253" s="75" t="s">
        <v>191</v>
      </c>
      <c r="E253" s="6" t="s">
        <v>16</v>
      </c>
      <c r="F253" s="17">
        <f>F252</f>
        <v>14.724000000000002</v>
      </c>
      <c r="G253" s="279" t="s">
        <v>639</v>
      </c>
      <c r="H253" s="280"/>
    </row>
    <row r="254" spans="1:8">
      <c r="A254" s="52"/>
      <c r="B254" s="6"/>
      <c r="C254" s="6"/>
      <c r="D254" s="74" t="s">
        <v>192</v>
      </c>
      <c r="E254" s="6"/>
      <c r="F254" s="17"/>
      <c r="G254" s="279"/>
      <c r="H254" s="280"/>
    </row>
    <row r="255" spans="1:8">
      <c r="A255" s="38">
        <v>8</v>
      </c>
      <c r="B255" s="12"/>
      <c r="C255" s="12"/>
      <c r="D255" s="10" t="s">
        <v>193</v>
      </c>
      <c r="E255" s="12"/>
      <c r="F255" s="18"/>
      <c r="G255" s="283"/>
      <c r="H255" s="284"/>
    </row>
    <row r="256" spans="1:8" ht="43.5">
      <c r="A256" s="52" t="s">
        <v>194</v>
      </c>
      <c r="B256" s="53" t="s">
        <v>785</v>
      </c>
      <c r="C256" s="6" t="s">
        <v>195</v>
      </c>
      <c r="D256" s="73" t="s">
        <v>196</v>
      </c>
      <c r="E256" s="6" t="s">
        <v>16</v>
      </c>
      <c r="F256" s="17">
        <f>(2.64*2.64)+(2.64*2.64)+(4.22)+(7.96)+(10.99)+(17.42*0.07)*1.1</f>
        <v>38.450540000000004</v>
      </c>
      <c r="G256" s="277" t="s">
        <v>640</v>
      </c>
      <c r="H256" s="278"/>
    </row>
    <row r="257" spans="1:8" ht="29.25">
      <c r="A257" s="52" t="s">
        <v>197</v>
      </c>
      <c r="B257" s="53" t="s">
        <v>785</v>
      </c>
      <c r="C257" s="6" t="s">
        <v>198</v>
      </c>
      <c r="D257" s="73" t="s">
        <v>191</v>
      </c>
      <c r="E257" s="6" t="s">
        <v>16</v>
      </c>
      <c r="F257" s="17">
        <f>F256</f>
        <v>38.450540000000004</v>
      </c>
      <c r="G257" s="277" t="s">
        <v>640</v>
      </c>
      <c r="H257" s="278"/>
    </row>
    <row r="258" spans="1:8">
      <c r="A258" s="52"/>
      <c r="B258" s="6"/>
      <c r="C258" s="6"/>
      <c r="D258" s="23"/>
      <c r="E258" s="6"/>
      <c r="F258" s="17"/>
      <c r="G258" s="279"/>
      <c r="H258" s="280"/>
    </row>
    <row r="259" spans="1:8">
      <c r="A259" s="38">
        <v>9</v>
      </c>
      <c r="B259" s="12"/>
      <c r="C259" s="12"/>
      <c r="D259" s="10" t="s">
        <v>199</v>
      </c>
      <c r="E259" s="12"/>
      <c r="F259" s="12"/>
      <c r="G259" s="283"/>
      <c r="H259" s="284"/>
    </row>
    <row r="260" spans="1:8" ht="29.25">
      <c r="A260" s="52" t="s">
        <v>378</v>
      </c>
      <c r="B260" s="53" t="s">
        <v>785</v>
      </c>
      <c r="C260" s="6" t="s">
        <v>201</v>
      </c>
      <c r="D260" s="73" t="s">
        <v>202</v>
      </c>
      <c r="E260" s="6" t="s">
        <v>16</v>
      </c>
      <c r="F260" s="17">
        <f>7.71+6.31+8.81</f>
        <v>22.83</v>
      </c>
      <c r="G260" s="279" t="s">
        <v>641</v>
      </c>
      <c r="H260" s="280"/>
    </row>
    <row r="261" spans="1:8">
      <c r="A261" s="52"/>
      <c r="B261" s="6"/>
      <c r="C261" s="6"/>
      <c r="D261" s="71"/>
      <c r="E261" s="6"/>
      <c r="F261" s="17"/>
      <c r="G261" s="279"/>
      <c r="H261" s="280"/>
    </row>
    <row r="262" spans="1:8">
      <c r="A262" s="38">
        <v>10</v>
      </c>
      <c r="B262" s="12"/>
      <c r="C262" s="12"/>
      <c r="D262" s="10" t="s">
        <v>203</v>
      </c>
      <c r="E262" s="12"/>
      <c r="F262" s="12"/>
      <c r="G262" s="283"/>
      <c r="H262" s="284"/>
    </row>
    <row r="263" spans="1:8">
      <c r="A263" s="52" t="s">
        <v>204</v>
      </c>
      <c r="B263" s="53" t="s">
        <v>785</v>
      </c>
      <c r="C263" s="6" t="s">
        <v>205</v>
      </c>
      <c r="D263" s="73" t="s">
        <v>206</v>
      </c>
      <c r="E263" s="6" t="s">
        <v>16</v>
      </c>
      <c r="F263" s="17">
        <f>(0.8*2.1)*2</f>
        <v>3.3600000000000003</v>
      </c>
      <c r="G263" s="279" t="s">
        <v>841</v>
      </c>
      <c r="H263" s="280"/>
    </row>
    <row r="264" spans="1:8">
      <c r="A264" s="52" t="s">
        <v>207</v>
      </c>
      <c r="B264" s="53" t="s">
        <v>785</v>
      </c>
      <c r="C264" s="6" t="s">
        <v>810</v>
      </c>
      <c r="D264" s="73" t="s">
        <v>809</v>
      </c>
      <c r="E264" s="6" t="s">
        <v>16</v>
      </c>
      <c r="F264" s="17">
        <f>0.9*2.1</f>
        <v>1.8900000000000001</v>
      </c>
      <c r="G264" s="279" t="s">
        <v>811</v>
      </c>
      <c r="H264" s="280"/>
    </row>
    <row r="265" spans="1:8">
      <c r="A265" s="52" t="s">
        <v>207</v>
      </c>
      <c r="B265" s="53" t="s">
        <v>785</v>
      </c>
      <c r="C265" s="6" t="s">
        <v>757</v>
      </c>
      <c r="D265" s="73" t="s">
        <v>758</v>
      </c>
      <c r="E265" s="6" t="s">
        <v>16</v>
      </c>
      <c r="F265" s="17">
        <f>(2.5*2.2*2)+(2.5*1.4*2)</f>
        <v>18</v>
      </c>
      <c r="G265" s="279" t="s">
        <v>781</v>
      </c>
      <c r="H265" s="280"/>
    </row>
    <row r="266" spans="1:8">
      <c r="A266" s="52" t="s">
        <v>208</v>
      </c>
      <c r="B266" s="53" t="s">
        <v>785</v>
      </c>
      <c r="C266" s="6" t="s">
        <v>209</v>
      </c>
      <c r="D266" s="73" t="s">
        <v>210</v>
      </c>
      <c r="E266" s="6" t="s">
        <v>16</v>
      </c>
      <c r="F266" s="17">
        <f>0.6*1</f>
        <v>0.6</v>
      </c>
      <c r="G266" s="279" t="s">
        <v>642</v>
      </c>
      <c r="H266" s="280"/>
    </row>
    <row r="267" spans="1:8">
      <c r="A267" s="52" t="s">
        <v>383</v>
      </c>
      <c r="B267" s="53" t="s">
        <v>785</v>
      </c>
      <c r="C267" s="77" t="s">
        <v>755</v>
      </c>
      <c r="D267" s="73" t="s">
        <v>754</v>
      </c>
      <c r="E267" s="6" t="s">
        <v>16</v>
      </c>
      <c r="F267" s="17">
        <v>18</v>
      </c>
      <c r="G267" s="279" t="s">
        <v>781</v>
      </c>
      <c r="H267" s="280"/>
    </row>
    <row r="268" spans="1:8">
      <c r="A268" s="52"/>
      <c r="B268" s="6"/>
      <c r="C268" s="77"/>
      <c r="D268" s="71"/>
      <c r="E268" s="6"/>
      <c r="F268" s="17"/>
      <c r="G268" s="279"/>
      <c r="H268" s="280"/>
    </row>
    <row r="269" spans="1:8">
      <c r="A269" s="38">
        <v>11</v>
      </c>
      <c r="B269" s="12"/>
      <c r="C269" s="12"/>
      <c r="D269" s="7" t="s">
        <v>43</v>
      </c>
      <c r="E269" s="12"/>
      <c r="F269" s="12"/>
      <c r="G269" s="283"/>
      <c r="H269" s="284"/>
    </row>
    <row r="270" spans="1:8">
      <c r="A270" s="52" t="s">
        <v>212</v>
      </c>
      <c r="B270" s="53" t="s">
        <v>785</v>
      </c>
      <c r="C270" s="77" t="s">
        <v>762</v>
      </c>
      <c r="D270" s="76" t="s">
        <v>761</v>
      </c>
      <c r="E270" s="6" t="s">
        <v>16</v>
      </c>
      <c r="F270" s="17">
        <f>196.77-34.23-14.72+15.74+7.81</f>
        <v>171.37000000000003</v>
      </c>
      <c r="G270" s="279" t="s">
        <v>643</v>
      </c>
      <c r="H270" s="280"/>
    </row>
    <row r="271" spans="1:8">
      <c r="A271" s="52" t="s">
        <v>213</v>
      </c>
      <c r="B271" s="53" t="s">
        <v>785</v>
      </c>
      <c r="C271" s="77" t="s">
        <v>760</v>
      </c>
      <c r="D271" s="76" t="s">
        <v>759</v>
      </c>
      <c r="E271" s="6" t="s">
        <v>16</v>
      </c>
      <c r="F271" s="17">
        <f>F270</f>
        <v>171.37000000000003</v>
      </c>
      <c r="G271" s="279" t="s">
        <v>643</v>
      </c>
      <c r="H271" s="280"/>
    </row>
    <row r="272" spans="1:8">
      <c r="A272" s="52" t="s">
        <v>216</v>
      </c>
      <c r="B272" s="53" t="s">
        <v>785</v>
      </c>
      <c r="C272" s="77" t="s">
        <v>44</v>
      </c>
      <c r="D272" s="78" t="s">
        <v>217</v>
      </c>
      <c r="E272" s="6" t="s">
        <v>16</v>
      </c>
      <c r="F272" s="17">
        <f>29.46+3.35</f>
        <v>32.81</v>
      </c>
      <c r="G272" s="279" t="s">
        <v>644</v>
      </c>
      <c r="H272" s="280"/>
    </row>
    <row r="273" spans="1:8">
      <c r="A273" s="52"/>
      <c r="B273" s="6"/>
      <c r="C273" s="6"/>
      <c r="D273" s="74"/>
      <c r="E273" s="6"/>
      <c r="F273" s="17"/>
      <c r="G273" s="279"/>
      <c r="H273" s="280"/>
    </row>
    <row r="274" spans="1:8">
      <c r="A274" s="38">
        <v>12</v>
      </c>
      <c r="B274" s="12"/>
      <c r="C274" s="12"/>
      <c r="D274" s="7" t="s">
        <v>219</v>
      </c>
      <c r="E274" s="12"/>
      <c r="F274" s="12"/>
      <c r="G274" s="283"/>
      <c r="H274" s="284"/>
    </row>
    <row r="275" spans="1:8">
      <c r="A275" s="52" t="s">
        <v>220</v>
      </c>
      <c r="B275" s="53" t="s">
        <v>785</v>
      </c>
      <c r="C275" s="6" t="s">
        <v>221</v>
      </c>
      <c r="D275" s="78" t="s">
        <v>222</v>
      </c>
      <c r="E275" s="6" t="s">
        <v>37</v>
      </c>
      <c r="F275" s="17">
        <v>1</v>
      </c>
      <c r="G275" s="279" t="s">
        <v>645</v>
      </c>
      <c r="H275" s="280"/>
    </row>
    <row r="276" spans="1:8">
      <c r="A276" s="52" t="s">
        <v>223</v>
      </c>
      <c r="B276" s="53" t="s">
        <v>785</v>
      </c>
      <c r="C276" s="6" t="s">
        <v>224</v>
      </c>
      <c r="D276" s="78" t="s">
        <v>225</v>
      </c>
      <c r="E276" s="6" t="s">
        <v>37</v>
      </c>
      <c r="F276" s="17">
        <v>2</v>
      </c>
      <c r="G276" s="277" t="s">
        <v>646</v>
      </c>
      <c r="H276" s="278"/>
    </row>
    <row r="277" spans="1:8">
      <c r="A277" s="52" t="s">
        <v>226</v>
      </c>
      <c r="B277" s="53" t="s">
        <v>785</v>
      </c>
      <c r="C277" s="6" t="s">
        <v>227</v>
      </c>
      <c r="D277" s="78" t="s">
        <v>228</v>
      </c>
      <c r="E277" s="6" t="s">
        <v>16</v>
      </c>
      <c r="F277" s="17">
        <f>(1*0.8)</f>
        <v>0.8</v>
      </c>
      <c r="G277" s="279" t="s">
        <v>647</v>
      </c>
      <c r="H277" s="280"/>
    </row>
    <row r="278" spans="1:8">
      <c r="A278" s="52" t="s">
        <v>229</v>
      </c>
      <c r="B278" s="53" t="s">
        <v>785</v>
      </c>
      <c r="C278" s="6" t="s">
        <v>230</v>
      </c>
      <c r="D278" s="78" t="s">
        <v>231</v>
      </c>
      <c r="E278" s="6" t="s">
        <v>37</v>
      </c>
      <c r="F278" s="17">
        <v>1</v>
      </c>
      <c r="G278" s="279" t="s">
        <v>645</v>
      </c>
      <c r="H278" s="280"/>
    </row>
    <row r="279" spans="1:8">
      <c r="A279" s="52" t="s">
        <v>232</v>
      </c>
      <c r="B279" s="53" t="s">
        <v>785</v>
      </c>
      <c r="C279" s="6" t="s">
        <v>233</v>
      </c>
      <c r="D279" s="78" t="s">
        <v>234</v>
      </c>
      <c r="E279" s="6" t="s">
        <v>37</v>
      </c>
      <c r="F279" s="17">
        <v>1</v>
      </c>
      <c r="G279" s="279" t="s">
        <v>645</v>
      </c>
      <c r="H279" s="280"/>
    </row>
    <row r="280" spans="1:8">
      <c r="A280" s="52" t="s">
        <v>235</v>
      </c>
      <c r="B280" s="53" t="s">
        <v>785</v>
      </c>
      <c r="C280" s="6" t="s">
        <v>236</v>
      </c>
      <c r="D280" s="78" t="s">
        <v>237</v>
      </c>
      <c r="E280" s="6" t="s">
        <v>37</v>
      </c>
      <c r="F280" s="17">
        <v>1</v>
      </c>
      <c r="G280" s="279" t="s">
        <v>648</v>
      </c>
      <c r="H280" s="280"/>
    </row>
    <row r="281" spans="1:8">
      <c r="A281" s="52" t="s">
        <v>238</v>
      </c>
      <c r="B281" s="53" t="s">
        <v>785</v>
      </c>
      <c r="C281" s="6" t="s">
        <v>507</v>
      </c>
      <c r="D281" s="135" t="s">
        <v>239</v>
      </c>
      <c r="E281" s="6" t="s">
        <v>18</v>
      </c>
      <c r="F281" s="17">
        <f>(2.5+2.5)*2+(0.8+0.8)+1</f>
        <v>12.6</v>
      </c>
      <c r="G281" s="279" t="s">
        <v>649</v>
      </c>
      <c r="H281" s="280"/>
    </row>
    <row r="282" spans="1:8">
      <c r="A282" s="52" t="s">
        <v>240</v>
      </c>
      <c r="B282" s="53" t="s">
        <v>785</v>
      </c>
      <c r="C282" s="77" t="s">
        <v>241</v>
      </c>
      <c r="D282" s="78" t="s">
        <v>242</v>
      </c>
      <c r="E282" s="6" t="s">
        <v>37</v>
      </c>
      <c r="F282" s="17">
        <v>1</v>
      </c>
      <c r="G282" s="279" t="s">
        <v>645</v>
      </c>
      <c r="H282" s="280"/>
    </row>
    <row r="283" spans="1:8">
      <c r="A283" s="52" t="s">
        <v>243</v>
      </c>
      <c r="B283" s="53" t="s">
        <v>785</v>
      </c>
      <c r="C283" s="6" t="s">
        <v>244</v>
      </c>
      <c r="D283" s="75" t="s">
        <v>245</v>
      </c>
      <c r="E283" s="6" t="s">
        <v>16</v>
      </c>
      <c r="F283" s="17">
        <f>(1.7*0.6)+(1.17*0.55)</f>
        <v>1.6635</v>
      </c>
      <c r="G283" s="279" t="s">
        <v>650</v>
      </c>
      <c r="H283" s="280"/>
    </row>
    <row r="284" spans="1:8" ht="29.25">
      <c r="A284" s="52" t="s">
        <v>246</v>
      </c>
      <c r="B284" s="53" t="s">
        <v>785</v>
      </c>
      <c r="C284" s="6" t="s">
        <v>247</v>
      </c>
      <c r="D284" s="78" t="s">
        <v>248</v>
      </c>
      <c r="E284" s="6" t="s">
        <v>37</v>
      </c>
      <c r="F284" s="17">
        <v>1</v>
      </c>
      <c r="G284" s="279" t="s">
        <v>645</v>
      </c>
      <c r="H284" s="280"/>
    </row>
    <row r="285" spans="1:8" ht="29.25">
      <c r="A285" s="52" t="s">
        <v>249</v>
      </c>
      <c r="B285" s="53" t="s">
        <v>785</v>
      </c>
      <c r="C285" s="6" t="s">
        <v>250</v>
      </c>
      <c r="D285" s="78" t="s">
        <v>251</v>
      </c>
      <c r="E285" s="6" t="s">
        <v>37</v>
      </c>
      <c r="F285" s="17">
        <v>1</v>
      </c>
      <c r="G285" s="279" t="s">
        <v>645</v>
      </c>
      <c r="H285" s="280"/>
    </row>
    <row r="286" spans="1:8" ht="29.25">
      <c r="A286" s="52" t="s">
        <v>252</v>
      </c>
      <c r="B286" s="53" t="s">
        <v>785</v>
      </c>
      <c r="C286" s="6" t="s">
        <v>253</v>
      </c>
      <c r="D286" s="78" t="s">
        <v>254</v>
      </c>
      <c r="E286" s="6" t="s">
        <v>37</v>
      </c>
      <c r="F286" s="17">
        <v>1</v>
      </c>
      <c r="G286" s="279" t="s">
        <v>651</v>
      </c>
      <c r="H286" s="280"/>
    </row>
    <row r="287" spans="1:8">
      <c r="A287" s="52" t="s">
        <v>255</v>
      </c>
      <c r="B287" s="53" t="s">
        <v>785</v>
      </c>
      <c r="C287" s="6" t="s">
        <v>256</v>
      </c>
      <c r="D287" s="78" t="s">
        <v>257</v>
      </c>
      <c r="E287" s="6" t="s">
        <v>37</v>
      </c>
      <c r="F287" s="17">
        <v>1</v>
      </c>
      <c r="G287" s="279" t="s">
        <v>651</v>
      </c>
      <c r="H287" s="280"/>
    </row>
    <row r="288" spans="1:8" ht="29.25">
      <c r="A288" s="52" t="s">
        <v>258</v>
      </c>
      <c r="B288" s="53" t="s">
        <v>785</v>
      </c>
      <c r="C288" s="6" t="s">
        <v>259</v>
      </c>
      <c r="D288" s="78" t="s">
        <v>260</v>
      </c>
      <c r="E288" s="6" t="s">
        <v>37</v>
      </c>
      <c r="F288" s="17">
        <v>1</v>
      </c>
      <c r="G288" s="279" t="s">
        <v>652</v>
      </c>
      <c r="H288" s="280"/>
    </row>
    <row r="289" spans="1:8">
      <c r="A289" s="52" t="s">
        <v>261</v>
      </c>
      <c r="B289" s="53" t="s">
        <v>785</v>
      </c>
      <c r="C289" s="6" t="s">
        <v>63</v>
      </c>
      <c r="D289" s="78" t="s">
        <v>262</v>
      </c>
      <c r="E289" s="6" t="s">
        <v>16</v>
      </c>
      <c r="F289" s="17">
        <f>(6*1.1)+(2.75*1.1)+(6.75*1.1)</f>
        <v>17.05</v>
      </c>
      <c r="G289" s="279" t="s">
        <v>653</v>
      </c>
      <c r="H289" s="280"/>
    </row>
    <row r="290" spans="1:8">
      <c r="A290" s="52" t="s">
        <v>263</v>
      </c>
      <c r="B290" s="53" t="s">
        <v>785</v>
      </c>
      <c r="C290" s="6" t="s">
        <v>764</v>
      </c>
      <c r="D290" s="81" t="s">
        <v>763</v>
      </c>
      <c r="E290" s="6" t="s">
        <v>18</v>
      </c>
      <c r="F290" s="17">
        <v>5</v>
      </c>
      <c r="G290" s="279" t="s">
        <v>654</v>
      </c>
      <c r="H290" s="280"/>
    </row>
    <row r="291" spans="1:8">
      <c r="A291" s="52"/>
      <c r="B291" s="6"/>
      <c r="C291" s="6"/>
      <c r="D291" s="71"/>
      <c r="E291" s="6"/>
      <c r="F291" s="6"/>
      <c r="G291" s="279"/>
      <c r="H291" s="280"/>
    </row>
    <row r="292" spans="1:8">
      <c r="A292" s="38">
        <v>13</v>
      </c>
      <c r="B292" s="12"/>
      <c r="C292" s="12"/>
      <c r="D292" s="7" t="s">
        <v>265</v>
      </c>
      <c r="E292" s="12"/>
      <c r="F292" s="12"/>
      <c r="G292" s="283"/>
      <c r="H292" s="284"/>
    </row>
    <row r="293" spans="1:8" ht="29.25">
      <c r="A293" s="52" t="s">
        <v>266</v>
      </c>
      <c r="B293" s="53" t="s">
        <v>785</v>
      </c>
      <c r="C293" s="77" t="s">
        <v>267</v>
      </c>
      <c r="D293" s="78" t="s">
        <v>268</v>
      </c>
      <c r="E293" s="6" t="s">
        <v>37</v>
      </c>
      <c r="F293" s="17">
        <v>1</v>
      </c>
      <c r="G293" s="279" t="s">
        <v>657</v>
      </c>
      <c r="H293" s="280"/>
    </row>
    <row r="294" spans="1:8">
      <c r="A294" s="52" t="s">
        <v>269</v>
      </c>
      <c r="B294" s="53" t="s">
        <v>785</v>
      </c>
      <c r="C294" s="77" t="s">
        <v>270</v>
      </c>
      <c r="D294" s="78" t="s">
        <v>271</v>
      </c>
      <c r="E294" s="6" t="s">
        <v>37</v>
      </c>
      <c r="F294" s="17">
        <v>1</v>
      </c>
      <c r="G294" s="279" t="s">
        <v>659</v>
      </c>
      <c r="H294" s="280"/>
    </row>
    <row r="295" spans="1:8">
      <c r="A295" s="52" t="s">
        <v>272</v>
      </c>
      <c r="B295" s="53" t="s">
        <v>785</v>
      </c>
      <c r="C295" s="77" t="s">
        <v>273</v>
      </c>
      <c r="D295" s="78" t="s">
        <v>274</v>
      </c>
      <c r="E295" s="6" t="s">
        <v>37</v>
      </c>
      <c r="F295" s="17">
        <v>3</v>
      </c>
      <c r="G295" s="285" t="s">
        <v>655</v>
      </c>
      <c r="H295" s="286"/>
    </row>
    <row r="296" spans="1:8">
      <c r="A296" s="52" t="s">
        <v>275</v>
      </c>
      <c r="B296" s="53" t="s">
        <v>785</v>
      </c>
      <c r="C296" s="77" t="s">
        <v>276</v>
      </c>
      <c r="D296" s="78" t="s">
        <v>277</v>
      </c>
      <c r="E296" s="6" t="s">
        <v>18</v>
      </c>
      <c r="F296" s="17">
        <f>(2.8*7)+25</f>
        <v>44.599999999999994</v>
      </c>
      <c r="G296" s="279" t="s">
        <v>815</v>
      </c>
      <c r="H296" s="280"/>
    </row>
    <row r="297" spans="1:8">
      <c r="A297" s="52" t="s">
        <v>278</v>
      </c>
      <c r="B297" s="53" t="s">
        <v>785</v>
      </c>
      <c r="C297" s="77" t="s">
        <v>691</v>
      </c>
      <c r="D297" s="78" t="s">
        <v>690</v>
      </c>
      <c r="E297" s="6" t="s">
        <v>18</v>
      </c>
      <c r="F297" s="17">
        <v>6</v>
      </c>
      <c r="G297" s="279" t="s">
        <v>660</v>
      </c>
      <c r="H297" s="280"/>
    </row>
    <row r="298" spans="1:8">
      <c r="A298" s="52" t="s">
        <v>279</v>
      </c>
      <c r="B298" s="53" t="s">
        <v>785</v>
      </c>
      <c r="C298" s="77" t="s">
        <v>280</v>
      </c>
      <c r="D298" s="78" t="s">
        <v>281</v>
      </c>
      <c r="E298" s="6" t="s">
        <v>18</v>
      </c>
      <c r="F298" s="17">
        <v>12</v>
      </c>
      <c r="G298" s="279" t="s">
        <v>842</v>
      </c>
      <c r="H298" s="280"/>
    </row>
    <row r="299" spans="1:8">
      <c r="A299" s="52" t="s">
        <v>282</v>
      </c>
      <c r="B299" s="53" t="s">
        <v>785</v>
      </c>
      <c r="C299" s="77" t="s">
        <v>56</v>
      </c>
      <c r="D299" s="78" t="s">
        <v>57</v>
      </c>
      <c r="E299" s="6" t="s">
        <v>18</v>
      </c>
      <c r="F299" s="17">
        <f>F296*3</f>
        <v>133.79999999999998</v>
      </c>
      <c r="G299" s="279" t="s">
        <v>843</v>
      </c>
      <c r="H299" s="280"/>
    </row>
    <row r="300" spans="1:8" ht="29.25">
      <c r="A300" s="52" t="s">
        <v>283</v>
      </c>
      <c r="B300" s="53" t="s">
        <v>785</v>
      </c>
      <c r="C300" s="77" t="s">
        <v>284</v>
      </c>
      <c r="D300" s="78" t="s">
        <v>285</v>
      </c>
      <c r="E300" s="6" t="s">
        <v>18</v>
      </c>
      <c r="F300" s="17">
        <f>F296*2</f>
        <v>89.199999999999989</v>
      </c>
      <c r="G300" s="279" t="s">
        <v>844</v>
      </c>
      <c r="H300" s="280"/>
    </row>
    <row r="301" spans="1:8">
      <c r="A301" s="52" t="s">
        <v>286</v>
      </c>
      <c r="B301" s="53" t="s">
        <v>785</v>
      </c>
      <c r="C301" s="77" t="s">
        <v>287</v>
      </c>
      <c r="D301" s="78" t="s">
        <v>288</v>
      </c>
      <c r="E301" s="6" t="s">
        <v>18</v>
      </c>
      <c r="F301" s="17">
        <v>8</v>
      </c>
      <c r="G301" s="279" t="s">
        <v>661</v>
      </c>
      <c r="H301" s="280"/>
    </row>
    <row r="302" spans="1:8">
      <c r="A302" s="52" t="s">
        <v>289</v>
      </c>
      <c r="B302" s="53" t="s">
        <v>785</v>
      </c>
      <c r="C302" s="77" t="s">
        <v>290</v>
      </c>
      <c r="D302" s="78" t="s">
        <v>291</v>
      </c>
      <c r="E302" s="6" t="s">
        <v>37</v>
      </c>
      <c r="F302" s="17">
        <v>4</v>
      </c>
      <c r="G302" s="277" t="s">
        <v>662</v>
      </c>
      <c r="H302" s="278"/>
    </row>
    <row r="303" spans="1:8">
      <c r="A303" s="52" t="s">
        <v>292</v>
      </c>
      <c r="B303" s="53" t="s">
        <v>785</v>
      </c>
      <c r="C303" s="77" t="s">
        <v>293</v>
      </c>
      <c r="D303" s="78" t="s">
        <v>854</v>
      </c>
      <c r="E303" s="6" t="s">
        <v>294</v>
      </c>
      <c r="F303" s="17">
        <v>4</v>
      </c>
      <c r="G303" s="277" t="s">
        <v>852</v>
      </c>
      <c r="H303" s="278"/>
    </row>
    <row r="304" spans="1:8">
      <c r="A304" s="52" t="s">
        <v>295</v>
      </c>
      <c r="B304" s="53" t="s">
        <v>785</v>
      </c>
      <c r="C304" s="77" t="s">
        <v>448</v>
      </c>
      <c r="D304" s="78" t="s">
        <v>296</v>
      </c>
      <c r="E304" s="6" t="s">
        <v>294</v>
      </c>
      <c r="F304" s="17">
        <v>5</v>
      </c>
      <c r="G304" s="279" t="s">
        <v>663</v>
      </c>
      <c r="H304" s="280"/>
    </row>
    <row r="305" spans="1:8">
      <c r="A305" s="52" t="s">
        <v>297</v>
      </c>
      <c r="B305" s="53" t="s">
        <v>785</v>
      </c>
      <c r="C305" s="77" t="s">
        <v>298</v>
      </c>
      <c r="D305" s="78" t="s">
        <v>299</v>
      </c>
      <c r="E305" s="6" t="s">
        <v>98</v>
      </c>
      <c r="F305" s="17">
        <f>(0.403*3)</f>
        <v>1.2090000000000001</v>
      </c>
      <c r="G305" s="279" t="s">
        <v>664</v>
      </c>
      <c r="H305" s="280"/>
    </row>
    <row r="306" spans="1:8">
      <c r="A306" s="52" t="s">
        <v>300</v>
      </c>
      <c r="B306" s="53" t="s">
        <v>785</v>
      </c>
      <c r="C306" s="77" t="s">
        <v>301</v>
      </c>
      <c r="D306" s="78" t="s">
        <v>302</v>
      </c>
      <c r="E306" s="6" t="s">
        <v>18</v>
      </c>
      <c r="F306" s="17">
        <v>24</v>
      </c>
      <c r="G306" s="279" t="s">
        <v>816</v>
      </c>
      <c r="H306" s="280"/>
    </row>
    <row r="307" spans="1:8" ht="28.5">
      <c r="A307" s="52" t="s">
        <v>303</v>
      </c>
      <c r="B307" s="53" t="s">
        <v>785</v>
      </c>
      <c r="C307" s="77" t="s">
        <v>304</v>
      </c>
      <c r="D307" s="81" t="s">
        <v>305</v>
      </c>
      <c r="E307" s="6" t="s">
        <v>37</v>
      </c>
      <c r="F307" s="17">
        <v>3</v>
      </c>
      <c r="G307" s="279" t="s">
        <v>665</v>
      </c>
      <c r="H307" s="280"/>
    </row>
    <row r="308" spans="1:8">
      <c r="A308" s="52" t="s">
        <v>306</v>
      </c>
      <c r="B308" s="53" t="s">
        <v>785</v>
      </c>
      <c r="C308" s="77" t="s">
        <v>52</v>
      </c>
      <c r="D308" s="78" t="s">
        <v>53</v>
      </c>
      <c r="E308" s="6" t="s">
        <v>37</v>
      </c>
      <c r="F308" s="17">
        <v>6</v>
      </c>
      <c r="G308" s="279" t="s">
        <v>666</v>
      </c>
      <c r="H308" s="280"/>
    </row>
    <row r="309" spans="1:8">
      <c r="A309" s="52"/>
      <c r="B309" s="6"/>
      <c r="C309" s="77"/>
      <c r="D309" s="74"/>
      <c r="E309" s="6"/>
      <c r="F309" s="6"/>
      <c r="G309" s="279"/>
      <c r="H309" s="280"/>
    </row>
    <row r="310" spans="1:8">
      <c r="A310" s="38">
        <v>14</v>
      </c>
      <c r="B310" s="12"/>
      <c r="C310" s="12"/>
      <c r="D310" s="7" t="s">
        <v>308</v>
      </c>
      <c r="E310" s="12"/>
      <c r="F310" s="12"/>
      <c r="G310" s="283"/>
      <c r="H310" s="284"/>
    </row>
    <row r="311" spans="1:8">
      <c r="A311" s="52" t="s">
        <v>454</v>
      </c>
      <c r="B311" s="53" t="s">
        <v>785</v>
      </c>
      <c r="C311" s="6" t="s">
        <v>310</v>
      </c>
      <c r="D311" s="78" t="s">
        <v>311</v>
      </c>
      <c r="E311" s="6" t="s">
        <v>18</v>
      </c>
      <c r="F311" s="17">
        <f>(15+3)</f>
        <v>18</v>
      </c>
      <c r="G311" s="279" t="s">
        <v>667</v>
      </c>
      <c r="H311" s="280"/>
    </row>
    <row r="312" spans="1:8">
      <c r="A312" s="52" t="s">
        <v>309</v>
      </c>
      <c r="B312" s="53" t="s">
        <v>785</v>
      </c>
      <c r="C312" s="6" t="s">
        <v>313</v>
      </c>
      <c r="D312" s="78" t="s">
        <v>314</v>
      </c>
      <c r="E312" s="6" t="s">
        <v>18</v>
      </c>
      <c r="F312" s="17">
        <f>(2.2+3.8)</f>
        <v>6</v>
      </c>
      <c r="G312" s="279" t="s">
        <v>668</v>
      </c>
      <c r="H312" s="280"/>
    </row>
    <row r="313" spans="1:8" ht="29.25">
      <c r="A313" s="52" t="s">
        <v>312</v>
      </c>
      <c r="B313" s="53" t="s">
        <v>785</v>
      </c>
      <c r="C313" s="6" t="s">
        <v>316</v>
      </c>
      <c r="D313" s="78" t="s">
        <v>317</v>
      </c>
      <c r="E313" s="6" t="s">
        <v>18</v>
      </c>
      <c r="F313" s="17">
        <f>(1+2+1+2.5+1+1.5+1+2)</f>
        <v>12</v>
      </c>
      <c r="G313" s="279" t="s">
        <v>669</v>
      </c>
      <c r="H313" s="280"/>
    </row>
    <row r="314" spans="1:8" ht="29.25">
      <c r="A314" s="52" t="s">
        <v>315</v>
      </c>
      <c r="B314" s="53" t="s">
        <v>785</v>
      </c>
      <c r="C314" s="6" t="s">
        <v>319</v>
      </c>
      <c r="D314" s="78" t="s">
        <v>320</v>
      </c>
      <c r="E314" s="6" t="s">
        <v>18</v>
      </c>
      <c r="F314" s="17">
        <f>(4+2+6)</f>
        <v>12</v>
      </c>
      <c r="G314" s="279" t="s">
        <v>670</v>
      </c>
      <c r="H314" s="280"/>
    </row>
    <row r="315" spans="1:8">
      <c r="A315" s="52" t="s">
        <v>318</v>
      </c>
      <c r="B315" s="53" t="s">
        <v>785</v>
      </c>
      <c r="C315" s="6" t="s">
        <v>322</v>
      </c>
      <c r="D315" s="78" t="s">
        <v>323</v>
      </c>
      <c r="E315" s="6" t="s">
        <v>37</v>
      </c>
      <c r="F315" s="17">
        <v>2</v>
      </c>
      <c r="G315" s="277" t="s">
        <v>646</v>
      </c>
      <c r="H315" s="278"/>
    </row>
    <row r="316" spans="1:8">
      <c r="A316" s="52" t="s">
        <v>321</v>
      </c>
      <c r="B316" s="53" t="s">
        <v>785</v>
      </c>
      <c r="C316" s="6" t="s">
        <v>325</v>
      </c>
      <c r="D316" s="78" t="s">
        <v>326</v>
      </c>
      <c r="E316" s="6" t="s">
        <v>37</v>
      </c>
      <c r="F316" s="17">
        <v>1</v>
      </c>
      <c r="G316" s="279" t="s">
        <v>671</v>
      </c>
      <c r="H316" s="280"/>
    </row>
    <row r="317" spans="1:8">
      <c r="A317" s="52" t="s">
        <v>324</v>
      </c>
      <c r="B317" s="53" t="s">
        <v>785</v>
      </c>
      <c r="C317" s="6" t="s">
        <v>328</v>
      </c>
      <c r="D317" s="78" t="s">
        <v>329</v>
      </c>
      <c r="E317" s="6" t="s">
        <v>37</v>
      </c>
      <c r="F317" s="17">
        <v>2</v>
      </c>
      <c r="G317" s="277" t="s">
        <v>673</v>
      </c>
      <c r="H317" s="278"/>
    </row>
    <row r="318" spans="1:8" ht="29.25">
      <c r="A318" s="52" t="s">
        <v>327</v>
      </c>
      <c r="B318" s="53" t="s">
        <v>785</v>
      </c>
      <c r="C318" s="6" t="s">
        <v>331</v>
      </c>
      <c r="D318" s="78" t="s">
        <v>332</v>
      </c>
      <c r="E318" s="6" t="s">
        <v>37</v>
      </c>
      <c r="F318" s="17">
        <v>1</v>
      </c>
      <c r="G318" s="279" t="s">
        <v>672</v>
      </c>
      <c r="H318" s="280"/>
    </row>
    <row r="319" spans="1:8">
      <c r="A319" s="52"/>
      <c r="B319" s="6"/>
      <c r="C319" s="6"/>
      <c r="D319" s="74"/>
      <c r="E319" s="6"/>
      <c r="F319" s="17"/>
      <c r="G319" s="279"/>
      <c r="H319" s="280"/>
    </row>
    <row r="320" spans="1:8">
      <c r="A320" s="38">
        <v>15</v>
      </c>
      <c r="B320" s="12"/>
      <c r="C320" s="12"/>
      <c r="D320" s="7" t="s">
        <v>334</v>
      </c>
      <c r="E320" s="12"/>
      <c r="F320" s="12"/>
      <c r="G320" s="283"/>
      <c r="H320" s="284"/>
    </row>
    <row r="321" spans="1:8">
      <c r="A321" s="97" t="s">
        <v>335</v>
      </c>
      <c r="B321" s="53" t="s">
        <v>785</v>
      </c>
      <c r="C321" s="6" t="s">
        <v>336</v>
      </c>
      <c r="D321" s="78" t="s">
        <v>337</v>
      </c>
      <c r="E321" s="6" t="s">
        <v>37</v>
      </c>
      <c r="F321" s="6">
        <v>1</v>
      </c>
      <c r="G321" s="279" t="s">
        <v>674</v>
      </c>
      <c r="H321" s="280"/>
    </row>
    <row r="322" spans="1:8">
      <c r="A322" s="97" t="s">
        <v>338</v>
      </c>
      <c r="B322" s="53" t="s">
        <v>785</v>
      </c>
      <c r="C322" s="6" t="s">
        <v>339</v>
      </c>
      <c r="D322" s="78" t="s">
        <v>340</v>
      </c>
      <c r="E322" s="6" t="s">
        <v>37</v>
      </c>
      <c r="F322" s="6">
        <v>1</v>
      </c>
      <c r="G322" s="279" t="s">
        <v>674</v>
      </c>
      <c r="H322" s="280"/>
    </row>
    <row r="323" spans="1:8" ht="29.25">
      <c r="A323" s="97" t="s">
        <v>341</v>
      </c>
      <c r="B323" s="53" t="s">
        <v>785</v>
      </c>
      <c r="C323" s="6" t="s">
        <v>342</v>
      </c>
      <c r="D323" s="78" t="s">
        <v>343</v>
      </c>
      <c r="E323" s="6" t="s">
        <v>37</v>
      </c>
      <c r="F323" s="6">
        <v>1</v>
      </c>
      <c r="G323" s="279" t="s">
        <v>674</v>
      </c>
      <c r="H323" s="280"/>
    </row>
    <row r="324" spans="1:8" ht="28.5">
      <c r="A324" s="97" t="s">
        <v>344</v>
      </c>
      <c r="B324" s="53" t="s">
        <v>785</v>
      </c>
      <c r="C324" s="6" t="s">
        <v>793</v>
      </c>
      <c r="D324" s="82" t="s">
        <v>345</v>
      </c>
      <c r="E324" s="6" t="s">
        <v>37</v>
      </c>
      <c r="F324" s="6">
        <v>2</v>
      </c>
      <c r="G324" s="279" t="s">
        <v>675</v>
      </c>
      <c r="H324" s="280"/>
    </row>
    <row r="325" spans="1:8">
      <c r="A325" s="97"/>
      <c r="B325" s="6"/>
      <c r="C325" s="6"/>
      <c r="D325" s="71"/>
      <c r="E325" s="6"/>
      <c r="F325" s="17"/>
      <c r="G325" s="279"/>
      <c r="H325" s="280"/>
    </row>
    <row r="326" spans="1:8">
      <c r="A326" s="97"/>
      <c r="B326" s="6"/>
      <c r="C326" s="6"/>
      <c r="D326" s="71"/>
      <c r="E326" s="6"/>
      <c r="F326" s="17"/>
      <c r="G326" s="279"/>
      <c r="H326" s="280"/>
    </row>
    <row r="327" spans="1:8">
      <c r="A327" s="38">
        <v>16</v>
      </c>
      <c r="B327" s="12"/>
      <c r="C327" s="12"/>
      <c r="D327" s="7" t="s">
        <v>347</v>
      </c>
      <c r="E327" s="12"/>
      <c r="F327" s="12"/>
      <c r="G327" s="283"/>
      <c r="H327" s="284"/>
    </row>
    <row r="328" spans="1:8">
      <c r="A328" s="52" t="s">
        <v>484</v>
      </c>
      <c r="B328" s="53" t="s">
        <v>785</v>
      </c>
      <c r="C328" s="6" t="s">
        <v>348</v>
      </c>
      <c r="D328" s="1" t="s">
        <v>349</v>
      </c>
      <c r="E328" s="6" t="s">
        <v>16</v>
      </c>
      <c r="F328" s="17">
        <v>35.32</v>
      </c>
      <c r="G328" s="279" t="s">
        <v>681</v>
      </c>
      <c r="H328" s="280"/>
    </row>
    <row r="329" spans="1:8">
      <c r="A329" s="11"/>
      <c r="B329" s="6"/>
      <c r="C329" s="6"/>
      <c r="D329" s="23"/>
      <c r="E329" s="6"/>
      <c r="F329" s="17"/>
      <c r="G329" s="279"/>
      <c r="H329" s="280"/>
    </row>
    <row r="330" spans="1:8">
      <c r="A330" s="83"/>
      <c r="B330" s="84"/>
      <c r="C330" s="84"/>
      <c r="D330" s="85"/>
      <c r="E330" s="85"/>
      <c r="F330" s="84"/>
      <c r="G330" s="309"/>
      <c r="H330" s="310"/>
    </row>
    <row r="331" spans="1:8">
      <c r="A331" s="11"/>
      <c r="B331" s="6"/>
      <c r="C331" s="6"/>
      <c r="D331" s="11"/>
      <c r="E331" s="6"/>
      <c r="F331" s="17"/>
      <c r="G331" s="279"/>
      <c r="H331" s="280"/>
    </row>
    <row r="332" spans="1:8">
      <c r="A332" s="12" t="s">
        <v>351</v>
      </c>
      <c r="B332" s="13"/>
      <c r="C332" s="13"/>
      <c r="D332" s="7" t="s">
        <v>58</v>
      </c>
      <c r="E332" s="2"/>
      <c r="F332" s="2"/>
      <c r="G332" s="301"/>
      <c r="H332" s="302"/>
    </row>
    <row r="333" spans="1:8">
      <c r="A333" s="12">
        <v>1</v>
      </c>
      <c r="B333" s="13"/>
      <c r="C333" s="13"/>
      <c r="D333" s="7" t="s">
        <v>36</v>
      </c>
      <c r="E333" s="2"/>
      <c r="F333" s="2"/>
      <c r="G333" s="301"/>
      <c r="H333" s="302"/>
    </row>
    <row r="334" spans="1:8">
      <c r="A334" s="32" t="s">
        <v>9</v>
      </c>
      <c r="B334" s="53" t="s">
        <v>785</v>
      </c>
      <c r="C334" s="32" t="s">
        <v>63</v>
      </c>
      <c r="D334" s="136" t="s">
        <v>64</v>
      </c>
      <c r="E334" s="53" t="s">
        <v>16</v>
      </c>
      <c r="F334" s="54">
        <v>101</v>
      </c>
      <c r="G334" s="303" t="s">
        <v>676</v>
      </c>
      <c r="H334" s="304"/>
    </row>
    <row r="335" spans="1:8" ht="30.75" customHeight="1">
      <c r="A335" s="32" t="s">
        <v>23</v>
      </c>
      <c r="B335" s="53" t="s">
        <v>785</v>
      </c>
      <c r="C335" s="32" t="s">
        <v>68</v>
      </c>
      <c r="D335" s="136" t="s">
        <v>67</v>
      </c>
      <c r="E335" s="53" t="s">
        <v>17</v>
      </c>
      <c r="F335" s="54">
        <v>5.05</v>
      </c>
      <c r="G335" s="305" t="s">
        <v>821</v>
      </c>
      <c r="H335" s="306"/>
    </row>
    <row r="336" spans="1:8">
      <c r="A336" s="52" t="s">
        <v>51</v>
      </c>
      <c r="B336" s="53" t="s">
        <v>785</v>
      </c>
      <c r="C336" s="66" t="s">
        <v>66</v>
      </c>
      <c r="D336" s="75" t="s">
        <v>65</v>
      </c>
      <c r="E336" s="6" t="s">
        <v>16</v>
      </c>
      <c r="F336" s="17">
        <v>40.32</v>
      </c>
      <c r="G336" s="279" t="s">
        <v>677</v>
      </c>
      <c r="H336" s="280"/>
    </row>
    <row r="337" spans="1:8">
      <c r="A337" s="52" t="s">
        <v>62</v>
      </c>
      <c r="B337" s="53" t="s">
        <v>785</v>
      </c>
      <c r="C337" s="6" t="s">
        <v>38</v>
      </c>
      <c r="D337" s="73" t="s">
        <v>39</v>
      </c>
      <c r="E337" s="6" t="s">
        <v>16</v>
      </c>
      <c r="F337" s="17">
        <v>40.32</v>
      </c>
      <c r="G337" s="279" t="s">
        <v>677</v>
      </c>
      <c r="H337" s="280"/>
    </row>
    <row r="338" spans="1:8" ht="15.75">
      <c r="A338" s="52" t="s">
        <v>765</v>
      </c>
      <c r="B338" s="53" t="s">
        <v>785</v>
      </c>
      <c r="C338" s="6" t="s">
        <v>167</v>
      </c>
      <c r="D338" s="73" t="s">
        <v>168</v>
      </c>
      <c r="E338" s="6" t="s">
        <v>18</v>
      </c>
      <c r="F338" s="17">
        <f>(9.2+9.2)*1.077</f>
        <v>19.816799999999997</v>
      </c>
      <c r="G338" s="307" t="s">
        <v>766</v>
      </c>
      <c r="H338" s="308"/>
    </row>
    <row r="339" spans="1:8" ht="15.75">
      <c r="A339" s="52"/>
      <c r="B339" s="32"/>
      <c r="C339" s="6"/>
      <c r="D339" s="73"/>
      <c r="E339" s="6"/>
      <c r="F339" s="17"/>
      <c r="G339" s="307"/>
      <c r="H339" s="308"/>
    </row>
    <row r="340" spans="1:8">
      <c r="A340" s="38">
        <v>2</v>
      </c>
      <c r="B340" s="2"/>
      <c r="C340" s="2"/>
      <c r="D340" s="7" t="s">
        <v>41</v>
      </c>
      <c r="E340" s="2"/>
      <c r="F340" s="2"/>
      <c r="G340" s="301"/>
      <c r="H340" s="302"/>
    </row>
    <row r="341" spans="1:8">
      <c r="A341" s="53" t="s">
        <v>59</v>
      </c>
      <c r="B341" s="53" t="s">
        <v>785</v>
      </c>
      <c r="C341" s="32" t="s">
        <v>68</v>
      </c>
      <c r="D341" s="136" t="s">
        <v>67</v>
      </c>
      <c r="E341" s="53" t="s">
        <v>17</v>
      </c>
      <c r="F341" s="54">
        <f>0.1*0.06*15*25</f>
        <v>2.25</v>
      </c>
      <c r="G341" s="303" t="s">
        <v>678</v>
      </c>
      <c r="H341" s="304"/>
    </row>
    <row r="342" spans="1:8">
      <c r="A342" s="53" t="s">
        <v>72</v>
      </c>
      <c r="B342" s="53" t="s">
        <v>785</v>
      </c>
      <c r="C342" s="52" t="s">
        <v>70</v>
      </c>
      <c r="D342" s="28" t="s">
        <v>69</v>
      </c>
      <c r="E342" s="53" t="s">
        <v>71</v>
      </c>
      <c r="F342" s="54">
        <f>0.3*0.1*0.003*7850*36</f>
        <v>25.433999999999997</v>
      </c>
      <c r="G342" s="311" t="s">
        <v>679</v>
      </c>
      <c r="H342" s="312"/>
    </row>
    <row r="343" spans="1:8" ht="15.75">
      <c r="A343" s="58"/>
      <c r="B343" s="53"/>
      <c r="C343" s="53"/>
      <c r="D343" s="95"/>
      <c r="E343" s="53"/>
      <c r="F343" s="54"/>
      <c r="G343" s="311"/>
      <c r="H343" s="312"/>
    </row>
    <row r="344" spans="1:8" ht="15.75">
      <c r="A344" s="38">
        <v>3</v>
      </c>
      <c r="B344" s="2"/>
      <c r="C344" s="2"/>
      <c r="D344" s="34" t="s">
        <v>42</v>
      </c>
      <c r="E344" s="2"/>
      <c r="F344" s="2"/>
      <c r="G344" s="301"/>
      <c r="H344" s="302"/>
    </row>
    <row r="345" spans="1:8">
      <c r="A345" s="53" t="s">
        <v>10</v>
      </c>
      <c r="B345" s="53" t="s">
        <v>785</v>
      </c>
      <c r="C345" s="52" t="s">
        <v>60</v>
      </c>
      <c r="D345" s="96" t="s">
        <v>61</v>
      </c>
      <c r="E345" s="53" t="s">
        <v>16</v>
      </c>
      <c r="F345" s="54">
        <f>(1.8*10)+8.4</f>
        <v>26.4</v>
      </c>
      <c r="G345" s="314" t="s">
        <v>820</v>
      </c>
      <c r="H345" s="315"/>
    </row>
    <row r="346" spans="1:8" ht="15.75">
      <c r="A346" s="58"/>
      <c r="B346" s="53"/>
      <c r="C346" s="53"/>
      <c r="D346" s="95"/>
      <c r="E346" s="53"/>
      <c r="F346" s="54"/>
      <c r="G346" s="311"/>
      <c r="H346" s="312"/>
    </row>
    <row r="347" spans="1:8" ht="15.75">
      <c r="A347" s="38">
        <v>4</v>
      </c>
      <c r="B347" s="2"/>
      <c r="C347" s="2"/>
      <c r="D347" s="34" t="s">
        <v>43</v>
      </c>
      <c r="E347" s="2"/>
      <c r="F347" s="2"/>
      <c r="G347" s="301"/>
      <c r="H347" s="302"/>
    </row>
    <row r="348" spans="1:8" ht="35.25" customHeight="1">
      <c r="A348" s="32" t="s">
        <v>11</v>
      </c>
      <c r="B348" s="53" t="s">
        <v>785</v>
      </c>
      <c r="C348" s="32" t="s">
        <v>44</v>
      </c>
      <c r="D348" s="36" t="s">
        <v>45</v>
      </c>
      <c r="E348" s="32" t="s">
        <v>16</v>
      </c>
      <c r="F348" s="42">
        <f>(0.68*95)+(0.46*64)+(0.35*10)+(0.5*1.1)+ (0.05*0.06*231.81)+ 101</f>
        <v>199.78543000000002</v>
      </c>
      <c r="G348" s="305" t="s">
        <v>782</v>
      </c>
      <c r="H348" s="306"/>
    </row>
    <row r="349" spans="1:8" ht="15.75">
      <c r="A349" s="33"/>
      <c r="B349" s="33"/>
      <c r="C349" s="33"/>
      <c r="D349" s="91"/>
      <c r="E349" s="53"/>
      <c r="F349" s="33"/>
      <c r="G349" s="303"/>
      <c r="H349" s="304"/>
    </row>
    <row r="350" spans="1:8">
      <c r="A350" s="12">
        <v>5</v>
      </c>
      <c r="B350" s="2"/>
      <c r="C350" s="2"/>
      <c r="D350" s="7" t="s">
        <v>46</v>
      </c>
      <c r="E350" s="94"/>
      <c r="F350" s="2"/>
      <c r="G350" s="301"/>
      <c r="H350" s="302"/>
    </row>
    <row r="351" spans="1:8">
      <c r="A351" s="52" t="s">
        <v>13</v>
      </c>
      <c r="B351" s="53" t="s">
        <v>785</v>
      </c>
      <c r="C351" s="52" t="s">
        <v>47</v>
      </c>
      <c r="D351" s="137" t="s">
        <v>48</v>
      </c>
      <c r="E351" s="6" t="s">
        <v>18</v>
      </c>
      <c r="F351" s="17">
        <v>115.05</v>
      </c>
      <c r="G351" s="279" t="s">
        <v>848</v>
      </c>
      <c r="H351" s="280"/>
    </row>
    <row r="352" spans="1:8">
      <c r="A352" s="52" t="s">
        <v>14</v>
      </c>
      <c r="B352" s="53" t="s">
        <v>785</v>
      </c>
      <c r="C352" s="52" t="s">
        <v>49</v>
      </c>
      <c r="D352" s="137" t="s">
        <v>50</v>
      </c>
      <c r="E352" s="6" t="s">
        <v>18</v>
      </c>
      <c r="F352" s="17">
        <v>49.4</v>
      </c>
      <c r="G352" s="279" t="s">
        <v>851</v>
      </c>
      <c r="H352" s="280"/>
    </row>
    <row r="353" spans="1:8">
      <c r="A353" s="52" t="s">
        <v>15</v>
      </c>
      <c r="B353" s="53" t="s">
        <v>785</v>
      </c>
      <c r="C353" s="52" t="s">
        <v>52</v>
      </c>
      <c r="D353" s="61" t="s">
        <v>53</v>
      </c>
      <c r="E353" s="6" t="s">
        <v>37</v>
      </c>
      <c r="F353" s="17">
        <v>6</v>
      </c>
      <c r="G353" s="279" t="s">
        <v>680</v>
      </c>
      <c r="H353" s="280"/>
    </row>
    <row r="354" spans="1:8">
      <c r="A354" s="52" t="s">
        <v>24</v>
      </c>
      <c r="B354" s="53" t="s">
        <v>785</v>
      </c>
      <c r="C354" s="52" t="s">
        <v>54</v>
      </c>
      <c r="D354" s="61" t="s">
        <v>55</v>
      </c>
      <c r="E354" s="6" t="s">
        <v>18</v>
      </c>
      <c r="F354" s="17">
        <v>230</v>
      </c>
      <c r="G354" s="279" t="s">
        <v>849</v>
      </c>
      <c r="H354" s="280"/>
    </row>
    <row r="355" spans="1:8">
      <c r="A355" s="52" t="s">
        <v>25</v>
      </c>
      <c r="B355" s="53" t="s">
        <v>785</v>
      </c>
      <c r="C355" s="52" t="s">
        <v>56</v>
      </c>
      <c r="D355" s="61" t="s">
        <v>57</v>
      </c>
      <c r="E355" s="6" t="s">
        <v>18</v>
      </c>
      <c r="F355" s="17">
        <v>148.28</v>
      </c>
      <c r="G355" s="279" t="s">
        <v>850</v>
      </c>
      <c r="H355" s="280"/>
    </row>
    <row r="356" spans="1:8">
      <c r="A356" s="52" t="s">
        <v>26</v>
      </c>
      <c r="B356" s="53" t="s">
        <v>785</v>
      </c>
      <c r="C356" s="52" t="s">
        <v>798</v>
      </c>
      <c r="D356" s="61" t="s">
        <v>797</v>
      </c>
      <c r="E356" s="6" t="s">
        <v>37</v>
      </c>
      <c r="F356" s="17">
        <v>1</v>
      </c>
      <c r="G356" s="311" t="s">
        <v>847</v>
      </c>
      <c r="H356" s="312"/>
    </row>
    <row r="357" spans="1:8">
      <c r="A357" s="52" t="s">
        <v>367</v>
      </c>
      <c r="B357" s="53" t="s">
        <v>785</v>
      </c>
      <c r="C357" s="52" t="s">
        <v>846</v>
      </c>
      <c r="D357" s="61" t="s">
        <v>845</v>
      </c>
      <c r="E357" s="6" t="s">
        <v>37</v>
      </c>
      <c r="F357" s="17">
        <v>1</v>
      </c>
      <c r="G357" s="311" t="s">
        <v>808</v>
      </c>
      <c r="H357" s="312"/>
    </row>
    <row r="358" spans="1:8">
      <c r="A358" s="44"/>
      <c r="B358" s="45"/>
      <c r="C358" s="45"/>
      <c r="D358" s="45"/>
      <c r="E358" s="45"/>
      <c r="F358" s="45"/>
      <c r="G358" s="45"/>
      <c r="H358" s="46"/>
    </row>
    <row r="359" spans="1:8">
      <c r="A359" s="47"/>
      <c r="B359" s="48"/>
      <c r="C359" s="48"/>
      <c r="D359" s="48"/>
      <c r="E359" s="260"/>
      <c r="F359" s="260"/>
      <c r="G359" s="260"/>
      <c r="H359" s="261"/>
    </row>
    <row r="360" spans="1:8">
      <c r="A360" s="47"/>
      <c r="B360" s="48"/>
      <c r="C360" s="48"/>
      <c r="D360" s="49"/>
      <c r="E360" s="262" t="s">
        <v>19</v>
      </c>
      <c r="F360" s="262"/>
      <c r="G360" s="262"/>
      <c r="H360" s="263"/>
    </row>
    <row r="361" spans="1:8">
      <c r="A361" s="47"/>
      <c r="B361" s="48"/>
      <c r="C361" s="48"/>
      <c r="D361" s="48"/>
      <c r="E361" s="264" t="s">
        <v>20</v>
      </c>
      <c r="F361" s="264"/>
      <c r="G361" s="264"/>
      <c r="H361" s="265"/>
    </row>
    <row r="362" spans="1:8" ht="15.75">
      <c r="A362" s="50"/>
      <c r="B362" s="51"/>
      <c r="C362" s="51"/>
      <c r="D362" s="51"/>
      <c r="E362" s="313" t="s">
        <v>783</v>
      </c>
      <c r="F362" s="266"/>
      <c r="G362" s="266"/>
      <c r="H362" s="267"/>
    </row>
  </sheetData>
  <mergeCells count="352">
    <mergeCell ref="G357:H357"/>
    <mergeCell ref="B13:D13"/>
    <mergeCell ref="E362:H362"/>
    <mergeCell ref="G339:H339"/>
    <mergeCell ref="G348:H348"/>
    <mergeCell ref="G349:H349"/>
    <mergeCell ref="G350:H350"/>
    <mergeCell ref="G351:H351"/>
    <mergeCell ref="G352:H352"/>
    <mergeCell ref="G353:H353"/>
    <mergeCell ref="G354:H354"/>
    <mergeCell ref="G355:H355"/>
    <mergeCell ref="G356:H356"/>
    <mergeCell ref="G340:H340"/>
    <mergeCell ref="G341:H341"/>
    <mergeCell ref="G342:H342"/>
    <mergeCell ref="G343:H343"/>
    <mergeCell ref="G344:H344"/>
    <mergeCell ref="G345:H345"/>
    <mergeCell ref="G346:H346"/>
    <mergeCell ref="G347:H347"/>
    <mergeCell ref="E360:H360"/>
    <mergeCell ref="E361:H361"/>
    <mergeCell ref="G331:H331"/>
    <mergeCell ref="G332:H332"/>
    <mergeCell ref="G333:H333"/>
    <mergeCell ref="G334:H334"/>
    <mergeCell ref="G335:H335"/>
    <mergeCell ref="G336:H336"/>
    <mergeCell ref="G337:H337"/>
    <mergeCell ref="G338:H338"/>
    <mergeCell ref="G322:H322"/>
    <mergeCell ref="G323:H323"/>
    <mergeCell ref="G324:H324"/>
    <mergeCell ref="G325:H325"/>
    <mergeCell ref="G326:H326"/>
    <mergeCell ref="G327:H327"/>
    <mergeCell ref="G328:H328"/>
    <mergeCell ref="G329:H329"/>
    <mergeCell ref="G330:H330"/>
    <mergeCell ref="G313:H313"/>
    <mergeCell ref="G314:H314"/>
    <mergeCell ref="G315:H315"/>
    <mergeCell ref="G316:H316"/>
    <mergeCell ref="G317:H317"/>
    <mergeCell ref="G318:H318"/>
    <mergeCell ref="G319:H319"/>
    <mergeCell ref="G320:H320"/>
    <mergeCell ref="G321:H321"/>
    <mergeCell ref="G304:H304"/>
    <mergeCell ref="G305:H305"/>
    <mergeCell ref="G306:H306"/>
    <mergeCell ref="G307:H307"/>
    <mergeCell ref="G308:H308"/>
    <mergeCell ref="G309:H309"/>
    <mergeCell ref="G310:H310"/>
    <mergeCell ref="G311:H311"/>
    <mergeCell ref="G312:H312"/>
    <mergeCell ref="G295:H295"/>
    <mergeCell ref="G296:H296"/>
    <mergeCell ref="G297:H297"/>
    <mergeCell ref="G298:H298"/>
    <mergeCell ref="G299:H299"/>
    <mergeCell ref="G300:H300"/>
    <mergeCell ref="G301:H301"/>
    <mergeCell ref="G302:H302"/>
    <mergeCell ref="G303:H303"/>
    <mergeCell ref="G286:H286"/>
    <mergeCell ref="G287:H287"/>
    <mergeCell ref="G288:H288"/>
    <mergeCell ref="G289:H289"/>
    <mergeCell ref="G290:H290"/>
    <mergeCell ref="G291:H291"/>
    <mergeCell ref="G292:H292"/>
    <mergeCell ref="G293:H293"/>
    <mergeCell ref="G294:H294"/>
    <mergeCell ref="G277:H277"/>
    <mergeCell ref="G278:H278"/>
    <mergeCell ref="G279:H279"/>
    <mergeCell ref="G280:H280"/>
    <mergeCell ref="G281:H281"/>
    <mergeCell ref="G282:H282"/>
    <mergeCell ref="G283:H283"/>
    <mergeCell ref="G284:H284"/>
    <mergeCell ref="G285:H285"/>
    <mergeCell ref="G267:H267"/>
    <mergeCell ref="G269:H269"/>
    <mergeCell ref="G270:H270"/>
    <mergeCell ref="G271:H271"/>
    <mergeCell ref="G272:H272"/>
    <mergeCell ref="G273:H273"/>
    <mergeCell ref="G274:H274"/>
    <mergeCell ref="G275:H275"/>
    <mergeCell ref="G276:H276"/>
    <mergeCell ref="G268:H268"/>
    <mergeCell ref="G257:H257"/>
    <mergeCell ref="G258:H258"/>
    <mergeCell ref="G259:H259"/>
    <mergeCell ref="G260:H260"/>
    <mergeCell ref="G261:H261"/>
    <mergeCell ref="G262:H262"/>
    <mergeCell ref="G263:H263"/>
    <mergeCell ref="G265:H265"/>
    <mergeCell ref="G266:H266"/>
    <mergeCell ref="G248:H248"/>
    <mergeCell ref="G249:H249"/>
    <mergeCell ref="G250:H250"/>
    <mergeCell ref="G251:H251"/>
    <mergeCell ref="G252:H252"/>
    <mergeCell ref="G253:H253"/>
    <mergeCell ref="G254:H254"/>
    <mergeCell ref="G255:H255"/>
    <mergeCell ref="G256:H256"/>
    <mergeCell ref="G239:H239"/>
    <mergeCell ref="G240:H240"/>
    <mergeCell ref="G241:H241"/>
    <mergeCell ref="G242:H242"/>
    <mergeCell ref="G243:H243"/>
    <mergeCell ref="G244:H244"/>
    <mergeCell ref="G245:H245"/>
    <mergeCell ref="G246:H246"/>
    <mergeCell ref="G247:H247"/>
    <mergeCell ref="G230:H230"/>
    <mergeCell ref="G231:H231"/>
    <mergeCell ref="G232:H232"/>
    <mergeCell ref="G233:H233"/>
    <mergeCell ref="G234:H234"/>
    <mergeCell ref="G235:H235"/>
    <mergeCell ref="G236:H236"/>
    <mergeCell ref="G237:H237"/>
    <mergeCell ref="G238:H238"/>
    <mergeCell ref="G221:H221"/>
    <mergeCell ref="G222:H222"/>
    <mergeCell ref="G223:H223"/>
    <mergeCell ref="G224:H224"/>
    <mergeCell ref="G225:H225"/>
    <mergeCell ref="G226:H226"/>
    <mergeCell ref="G227:H227"/>
    <mergeCell ref="G228:H228"/>
    <mergeCell ref="G229:H229"/>
    <mergeCell ref="G212:H212"/>
    <mergeCell ref="G213:H213"/>
    <mergeCell ref="G214:H214"/>
    <mergeCell ref="G215:H215"/>
    <mergeCell ref="G216:H216"/>
    <mergeCell ref="G217:H217"/>
    <mergeCell ref="G218:H218"/>
    <mergeCell ref="G219:H219"/>
    <mergeCell ref="G220:H220"/>
    <mergeCell ref="G203:H203"/>
    <mergeCell ref="G204:H204"/>
    <mergeCell ref="G205:H205"/>
    <mergeCell ref="G206:H206"/>
    <mergeCell ref="G207:H207"/>
    <mergeCell ref="G208:H208"/>
    <mergeCell ref="G209:H209"/>
    <mergeCell ref="G210:H210"/>
    <mergeCell ref="G211:H211"/>
    <mergeCell ref="G193:H193"/>
    <mergeCell ref="G194:H194"/>
    <mergeCell ref="G196:H196"/>
    <mergeCell ref="G197:H197"/>
    <mergeCell ref="G198:H198"/>
    <mergeCell ref="G199:H199"/>
    <mergeCell ref="G200:H200"/>
    <mergeCell ref="G201:H201"/>
    <mergeCell ref="G202:H202"/>
    <mergeCell ref="G195:H195"/>
    <mergeCell ref="G189:H189"/>
    <mergeCell ref="G190:H190"/>
    <mergeCell ref="G187:H187"/>
    <mergeCell ref="G188:H188"/>
    <mergeCell ref="G191:H191"/>
    <mergeCell ref="G192:H192"/>
    <mergeCell ref="A1:H8"/>
    <mergeCell ref="A10:H10"/>
    <mergeCell ref="B11:H11"/>
    <mergeCell ref="B12:H12"/>
    <mergeCell ref="E14:H14"/>
    <mergeCell ref="G38:H38"/>
    <mergeCell ref="G16:H16"/>
    <mergeCell ref="G28:H28"/>
    <mergeCell ref="G29:H29"/>
    <mergeCell ref="G30:H30"/>
    <mergeCell ref="G31:H31"/>
    <mergeCell ref="G32:H32"/>
    <mergeCell ref="G45:H45"/>
    <mergeCell ref="G46:H46"/>
    <mergeCell ref="G47:H47"/>
    <mergeCell ref="G48:H48"/>
    <mergeCell ref="G49:H49"/>
    <mergeCell ref="G50:H50"/>
    <mergeCell ref="G162:H162"/>
    <mergeCell ref="G163:H163"/>
    <mergeCell ref="G164:H164"/>
    <mergeCell ref="G165:H165"/>
    <mergeCell ref="G166:H166"/>
    <mergeCell ref="G167:H167"/>
    <mergeCell ref="G168:H168"/>
    <mergeCell ref="G169:H169"/>
    <mergeCell ref="G170:H170"/>
    <mergeCell ref="G24:H24"/>
    <mergeCell ref="G25:H25"/>
    <mergeCell ref="G26:H26"/>
    <mergeCell ref="G27:H27"/>
    <mergeCell ref="G157:H157"/>
    <mergeCell ref="G158:H158"/>
    <mergeCell ref="G159:H159"/>
    <mergeCell ref="G160:H160"/>
    <mergeCell ref="G161:H161"/>
    <mergeCell ref="G33:H33"/>
    <mergeCell ref="G34:H34"/>
    <mergeCell ref="G35:H35"/>
    <mergeCell ref="G36:H36"/>
    <mergeCell ref="G37:H37"/>
    <mergeCell ref="G39:H39"/>
    <mergeCell ref="G40:H40"/>
    <mergeCell ref="G41:H41"/>
    <mergeCell ref="G42:H42"/>
    <mergeCell ref="G43:H43"/>
    <mergeCell ref="G44:H44"/>
    <mergeCell ref="G57:H57"/>
    <mergeCell ref="G58:H58"/>
    <mergeCell ref="G59:H59"/>
    <mergeCell ref="G60:H60"/>
    <mergeCell ref="G15:H15"/>
    <mergeCell ref="G17:H17"/>
    <mergeCell ref="G18:H18"/>
    <mergeCell ref="G19:H19"/>
    <mergeCell ref="G20:H20"/>
    <mergeCell ref="G21:H21"/>
    <mergeCell ref="G22:H22"/>
    <mergeCell ref="G171:H171"/>
    <mergeCell ref="G172:H172"/>
    <mergeCell ref="G81:H81"/>
    <mergeCell ref="G82:H82"/>
    <mergeCell ref="G83:H83"/>
    <mergeCell ref="G84:H84"/>
    <mergeCell ref="G85:H85"/>
    <mergeCell ref="G86:H86"/>
    <mergeCell ref="G75:H75"/>
    <mergeCell ref="G76:H76"/>
    <mergeCell ref="G77:H77"/>
    <mergeCell ref="G78:H78"/>
    <mergeCell ref="G79:H79"/>
    <mergeCell ref="G80:H80"/>
    <mergeCell ref="G93:H93"/>
    <mergeCell ref="G94:H94"/>
    <mergeCell ref="G95:H95"/>
    <mergeCell ref="G173:H173"/>
    <mergeCell ref="G174:H174"/>
    <mergeCell ref="G175:H175"/>
    <mergeCell ref="G176:H176"/>
    <mergeCell ref="G177:H177"/>
    <mergeCell ref="G178:H178"/>
    <mergeCell ref="G179:H179"/>
    <mergeCell ref="G180:H180"/>
    <mergeCell ref="G181:H181"/>
    <mergeCell ref="G182:H182"/>
    <mergeCell ref="G183:H183"/>
    <mergeCell ref="G184:H184"/>
    <mergeCell ref="E359:H359"/>
    <mergeCell ref="G61:H61"/>
    <mergeCell ref="G62:H62"/>
    <mergeCell ref="G51:H51"/>
    <mergeCell ref="G52:H52"/>
    <mergeCell ref="G53:H53"/>
    <mergeCell ref="G54:H54"/>
    <mergeCell ref="G55:H55"/>
    <mergeCell ref="G56:H56"/>
    <mergeCell ref="G69:H69"/>
    <mergeCell ref="G70:H70"/>
    <mergeCell ref="G71:H71"/>
    <mergeCell ref="G72:H72"/>
    <mergeCell ref="G73:H73"/>
    <mergeCell ref="G74:H74"/>
    <mergeCell ref="G63:H63"/>
    <mergeCell ref="G64:H64"/>
    <mergeCell ref="G65:H65"/>
    <mergeCell ref="G66:H66"/>
    <mergeCell ref="G67:H67"/>
    <mergeCell ref="G68:H68"/>
    <mergeCell ref="G96:H96"/>
    <mergeCell ref="G97:H97"/>
    <mergeCell ref="G87:H87"/>
    <mergeCell ref="G88:H88"/>
    <mergeCell ref="G89:H89"/>
    <mergeCell ref="G90:H90"/>
    <mergeCell ref="G91:H91"/>
    <mergeCell ref="G92:H92"/>
    <mergeCell ref="G105:H105"/>
    <mergeCell ref="G106:H106"/>
    <mergeCell ref="G107:H107"/>
    <mergeCell ref="G108:H108"/>
    <mergeCell ref="G109:H109"/>
    <mergeCell ref="G110:H110"/>
    <mergeCell ref="G98:H98"/>
    <mergeCell ref="G100:H100"/>
    <mergeCell ref="G101:H101"/>
    <mergeCell ref="G102:H102"/>
    <mergeCell ref="G103:H103"/>
    <mergeCell ref="G104:H104"/>
    <mergeCell ref="G99:H99"/>
    <mergeCell ref="G117:H117"/>
    <mergeCell ref="G118:H118"/>
    <mergeCell ref="G119:H119"/>
    <mergeCell ref="G120:H120"/>
    <mergeCell ref="G121:H121"/>
    <mergeCell ref="G122:H122"/>
    <mergeCell ref="G112:H112"/>
    <mergeCell ref="G111:H111"/>
    <mergeCell ref="G113:H113"/>
    <mergeCell ref="G114:H114"/>
    <mergeCell ref="G115:H115"/>
    <mergeCell ref="G116:H116"/>
    <mergeCell ref="G129:H129"/>
    <mergeCell ref="G131:H131"/>
    <mergeCell ref="G132:H132"/>
    <mergeCell ref="G133:H133"/>
    <mergeCell ref="G134:H134"/>
    <mergeCell ref="G135:H135"/>
    <mergeCell ref="G123:H123"/>
    <mergeCell ref="G124:H124"/>
    <mergeCell ref="G125:H125"/>
    <mergeCell ref="G126:H126"/>
    <mergeCell ref="G127:H127"/>
    <mergeCell ref="G128:H128"/>
    <mergeCell ref="G130:H130"/>
    <mergeCell ref="G186:H186"/>
    <mergeCell ref="G264:H264"/>
    <mergeCell ref="G23:H23"/>
    <mergeCell ref="G154:H154"/>
    <mergeCell ref="G155:H155"/>
    <mergeCell ref="G156:H156"/>
    <mergeCell ref="G148:H148"/>
    <mergeCell ref="G149:H149"/>
    <mergeCell ref="G150:H150"/>
    <mergeCell ref="G151:H151"/>
    <mergeCell ref="G152:H152"/>
    <mergeCell ref="G153:H153"/>
    <mergeCell ref="G142:H142"/>
    <mergeCell ref="G143:H143"/>
    <mergeCell ref="G144:H144"/>
    <mergeCell ref="G145:H145"/>
    <mergeCell ref="G146:H146"/>
    <mergeCell ref="G147:H147"/>
    <mergeCell ref="G136:H136"/>
    <mergeCell ref="G137:H137"/>
    <mergeCell ref="G138:H138"/>
    <mergeCell ref="G139:H139"/>
    <mergeCell ref="G140:H140"/>
    <mergeCell ref="G141:H141"/>
  </mergeCells>
  <pageMargins left="0.9055118110236221" right="0.70866141732283472" top="0.74803149606299213" bottom="0.74803149606299213" header="0.31496062992125984" footer="0.31496062992125984"/>
  <pageSetup paperSize="9" scale="54" orientation="landscape" verticalDpi="300" r:id="rId1"/>
  <headerFooter>
    <oddFooter>&amp;CPrefeitura Municipal da Estância Turística de Paraguaçu Paulista - SP - Av. Siqueira Campos 1430 - CEP 19.700-000Fone: (18)3361-9100 - Fax: (18)3361-1331 – www.eparaguacu.sp.gov.br&amp;R&amp;P</oddFooter>
  </headerFooter>
  <rowBreaks count="2" manualBreakCount="2">
    <brk id="310" max="7" man="1"/>
    <brk id="331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01"/>
  <sheetViews>
    <sheetView view="pageBreakPreview" topLeftCell="A82" zoomScale="120" zoomScaleNormal="120" zoomScaleSheetLayoutView="120" workbookViewId="0">
      <selection activeCell="E9" sqref="E9"/>
    </sheetView>
  </sheetViews>
  <sheetFormatPr defaultRowHeight="12.75"/>
  <cols>
    <col min="1" max="2" width="6.28515625" style="101" customWidth="1"/>
    <col min="3" max="3" width="25.28515625" style="101" customWidth="1"/>
    <col min="4" max="6" width="15.85546875" style="101" customWidth="1"/>
    <col min="7" max="7" width="15.140625" style="101" customWidth="1"/>
    <col min="8" max="8" width="15.85546875" style="101" customWidth="1"/>
    <col min="9" max="9" width="15.140625" style="101" customWidth="1"/>
    <col min="10" max="11" width="15.28515625" style="101" customWidth="1"/>
    <col min="12" max="13" width="15.85546875" style="101" customWidth="1"/>
    <col min="14" max="14" width="21.28515625" style="101" customWidth="1"/>
    <col min="15" max="15" width="18.7109375" style="101" customWidth="1"/>
    <col min="16" max="16" width="12.5703125" style="101" customWidth="1"/>
    <col min="17" max="17" width="13.42578125" style="101" customWidth="1"/>
    <col min="18" max="18" width="10.7109375" style="101" customWidth="1"/>
    <col min="19" max="1023" width="8.42578125" style="101" customWidth="1"/>
    <col min="1024" max="16384" width="9.140625" style="101"/>
  </cols>
  <sheetData>
    <row r="1" spans="1:14" ht="12.75" customHeight="1">
      <c r="A1" s="347" t="s">
        <v>729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</row>
    <row r="2" spans="1:14">
      <c r="A2" s="347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</row>
    <row r="3" spans="1:14">
      <c r="A3" s="347"/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</row>
    <row r="4" spans="1:14">
      <c r="A4" s="347"/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</row>
    <row r="5" spans="1:14">
      <c r="A5" s="347"/>
      <c r="B5" s="347"/>
      <c r="C5" s="347"/>
      <c r="D5" s="347"/>
      <c r="E5" s="347"/>
      <c r="F5" s="347"/>
      <c r="G5" s="347"/>
      <c r="H5" s="347"/>
      <c r="I5" s="347"/>
      <c r="J5" s="347"/>
      <c r="K5" s="347"/>
      <c r="L5" s="347"/>
      <c r="M5" s="347"/>
      <c r="N5" s="347"/>
    </row>
    <row r="6" spans="1:14">
      <c r="A6" s="347"/>
      <c r="B6" s="347"/>
      <c r="C6" s="347"/>
      <c r="D6" s="347"/>
      <c r="E6" s="347"/>
      <c r="F6" s="347"/>
      <c r="G6" s="347"/>
      <c r="H6" s="347"/>
      <c r="I6" s="347"/>
      <c r="J6" s="347"/>
      <c r="K6" s="347"/>
      <c r="L6" s="347"/>
      <c r="M6" s="347"/>
      <c r="N6" s="347"/>
    </row>
    <row r="7" spans="1:14">
      <c r="A7" s="347"/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347"/>
    </row>
    <row r="8" spans="1:14">
      <c r="A8" s="348" t="s">
        <v>728</v>
      </c>
      <c r="B8" s="348"/>
      <c r="C8" s="348"/>
      <c r="D8" s="348"/>
      <c r="E8" s="348"/>
      <c r="F8" s="348"/>
      <c r="G8" s="348"/>
      <c r="H8" s="348"/>
      <c r="I8" s="348"/>
      <c r="J8" s="348"/>
      <c r="K8" s="348"/>
      <c r="L8" s="348"/>
      <c r="M8" s="348"/>
      <c r="N8" s="348"/>
    </row>
    <row r="9" spans="1:14">
      <c r="A9" s="138"/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40"/>
    </row>
    <row r="10" spans="1:14" ht="12" customHeight="1">
      <c r="A10" s="349" t="s">
        <v>727</v>
      </c>
      <c r="B10" s="350"/>
      <c r="C10" s="350"/>
      <c r="D10" s="350"/>
      <c r="E10" s="350"/>
      <c r="F10" s="350"/>
      <c r="G10" s="350"/>
      <c r="H10" s="350"/>
      <c r="I10" s="350"/>
      <c r="J10" s="350"/>
      <c r="K10" s="350"/>
      <c r="L10" s="350"/>
      <c r="M10" s="350"/>
      <c r="N10" s="351"/>
    </row>
    <row r="11" spans="1:14" ht="8.1" customHeight="1">
      <c r="A11" s="352"/>
      <c r="B11" s="353"/>
      <c r="C11" s="353"/>
      <c r="D11" s="353"/>
      <c r="E11" s="353"/>
      <c r="F11" s="353"/>
      <c r="G11" s="353"/>
      <c r="H11" s="353"/>
      <c r="I11" s="353"/>
      <c r="J11" s="353"/>
      <c r="K11" s="353"/>
      <c r="L11" s="353"/>
      <c r="M11" s="353"/>
      <c r="N11" s="354"/>
    </row>
    <row r="12" spans="1:14" ht="17.25" customHeight="1">
      <c r="A12" s="338" t="s">
        <v>734</v>
      </c>
      <c r="B12" s="338"/>
      <c r="C12" s="338"/>
      <c r="D12" s="338"/>
      <c r="E12" s="338"/>
      <c r="F12" s="338"/>
      <c r="G12" s="338"/>
      <c r="H12" s="338"/>
      <c r="I12" s="338"/>
      <c r="J12" s="338"/>
      <c r="K12" s="338"/>
      <c r="L12" s="338"/>
      <c r="M12" s="338"/>
      <c r="N12" s="338"/>
    </row>
    <row r="13" spans="1:14" ht="18" customHeight="1">
      <c r="A13" s="338" t="s">
        <v>726</v>
      </c>
      <c r="B13" s="338"/>
      <c r="C13" s="338"/>
      <c r="D13" s="338"/>
      <c r="E13" s="338"/>
      <c r="F13" s="338"/>
      <c r="G13" s="338"/>
      <c r="H13" s="338"/>
      <c r="I13" s="338"/>
      <c r="J13" s="338"/>
      <c r="K13" s="338"/>
      <c r="L13" s="338"/>
      <c r="M13" s="338"/>
      <c r="N13" s="338"/>
    </row>
    <row r="14" spans="1:14" ht="15" customHeight="1">
      <c r="A14" s="338" t="s">
        <v>823</v>
      </c>
      <c r="B14" s="338"/>
      <c r="C14" s="338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</row>
    <row r="15" spans="1:14" ht="15" customHeight="1">
      <c r="A15" s="339" t="s">
        <v>790</v>
      </c>
      <c r="B15" s="339"/>
      <c r="C15" s="339"/>
      <c r="D15" s="339"/>
      <c r="E15" s="339"/>
      <c r="F15" s="339"/>
      <c r="G15" s="339"/>
      <c r="H15" s="339"/>
      <c r="I15" s="339"/>
      <c r="J15" s="339"/>
      <c r="K15" s="339"/>
      <c r="L15" s="339"/>
      <c r="M15" s="339"/>
      <c r="N15" s="339"/>
    </row>
    <row r="16" spans="1:14" ht="4.5" customHeight="1">
      <c r="A16" s="340"/>
      <c r="B16" s="341"/>
      <c r="C16" s="341"/>
      <c r="D16" s="341"/>
      <c r="E16" s="341"/>
      <c r="F16" s="341"/>
      <c r="G16" s="341"/>
      <c r="H16" s="341"/>
      <c r="I16" s="341"/>
      <c r="J16" s="341"/>
      <c r="K16" s="341"/>
      <c r="L16" s="341"/>
      <c r="M16" s="341"/>
      <c r="N16" s="342"/>
    </row>
    <row r="17" spans="1:27" ht="15" customHeight="1">
      <c r="A17" s="126"/>
      <c r="B17" s="125"/>
      <c r="C17" s="124" t="s">
        <v>725</v>
      </c>
      <c r="D17" s="161" t="s">
        <v>724</v>
      </c>
      <c r="E17" s="161" t="s">
        <v>723</v>
      </c>
      <c r="F17" s="161" t="s">
        <v>722</v>
      </c>
      <c r="G17" s="161" t="s">
        <v>721</v>
      </c>
      <c r="H17" s="161" t="s">
        <v>720</v>
      </c>
      <c r="I17" s="161" t="s">
        <v>719</v>
      </c>
      <c r="J17" s="161" t="s">
        <v>718</v>
      </c>
      <c r="K17" s="161" t="s">
        <v>717</v>
      </c>
      <c r="L17" s="161" t="s">
        <v>716</v>
      </c>
      <c r="M17" s="161" t="s">
        <v>715</v>
      </c>
      <c r="N17" s="343" t="s">
        <v>714</v>
      </c>
    </row>
    <row r="18" spans="1:27" ht="15" customHeight="1" thickBot="1">
      <c r="A18" s="344" t="s">
        <v>713</v>
      </c>
      <c r="B18" s="345"/>
      <c r="C18" s="346"/>
      <c r="D18" s="127">
        <v>30</v>
      </c>
      <c r="E18" s="123">
        <v>60</v>
      </c>
      <c r="F18" s="123">
        <v>90</v>
      </c>
      <c r="G18" s="123">
        <v>120</v>
      </c>
      <c r="H18" s="123">
        <v>150</v>
      </c>
      <c r="I18" s="123">
        <v>180</v>
      </c>
      <c r="J18" s="123">
        <v>210</v>
      </c>
      <c r="K18" s="123">
        <v>240</v>
      </c>
      <c r="L18" s="123">
        <v>270</v>
      </c>
      <c r="M18" s="123">
        <v>300</v>
      </c>
      <c r="N18" s="323"/>
    </row>
    <row r="19" spans="1:27" ht="15" customHeight="1">
      <c r="A19" s="317" t="s">
        <v>27</v>
      </c>
      <c r="B19" s="333" t="s">
        <v>712</v>
      </c>
      <c r="C19" s="324" t="s">
        <v>736</v>
      </c>
      <c r="D19" s="166">
        <f>D20/N20</f>
        <v>0.77224308949728004</v>
      </c>
      <c r="E19" s="167">
        <f>E20/N20</f>
        <v>0.16119775566624281</v>
      </c>
      <c r="F19" s="167">
        <f>F20/N20</f>
        <v>6.6559154836477022E-2</v>
      </c>
      <c r="G19" s="167"/>
      <c r="H19" s="167"/>
      <c r="I19" s="167"/>
      <c r="J19" s="167"/>
      <c r="K19" s="167"/>
      <c r="L19" s="167"/>
      <c r="M19" s="167"/>
      <c r="N19" s="122">
        <f>'CRONOGRAMA FÍSICOFINANCEIRO DEF'!N20/$N$96</f>
        <v>1.5000074364338013E-2</v>
      </c>
      <c r="O19" s="121"/>
    </row>
    <row r="20" spans="1:27" ht="15" customHeight="1">
      <c r="A20" s="317"/>
      <c r="B20" s="326"/>
      <c r="C20" s="325"/>
      <c r="D20" s="168">
        <v>7944.25</v>
      </c>
      <c r="E20" s="169">
        <v>1658.28</v>
      </c>
      <c r="F20" s="170">
        <v>684.71</v>
      </c>
      <c r="G20" s="170"/>
      <c r="H20" s="170"/>
      <c r="I20" s="170"/>
      <c r="J20" s="170"/>
      <c r="K20" s="170"/>
      <c r="L20" s="170"/>
      <c r="M20" s="170"/>
      <c r="N20" s="120">
        <f>SUM(D20:M20)</f>
        <v>10287.240000000002</v>
      </c>
      <c r="O20" s="119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</row>
    <row r="21" spans="1:27" ht="15" customHeight="1">
      <c r="A21" s="317"/>
      <c r="B21" s="326" t="s">
        <v>711</v>
      </c>
      <c r="C21" s="325" t="s">
        <v>737</v>
      </c>
      <c r="D21" s="166">
        <f>D22/N22</f>
        <v>0.65179993654351154</v>
      </c>
      <c r="E21" s="167">
        <f>E22/N22</f>
        <v>0.11640012691297685</v>
      </c>
      <c r="F21" s="167">
        <f>F22/N22</f>
        <v>0.23179993654351158</v>
      </c>
      <c r="G21" s="167"/>
      <c r="H21" s="167"/>
      <c r="I21" s="167"/>
      <c r="J21" s="167"/>
      <c r="K21" s="167"/>
      <c r="L21" s="167"/>
      <c r="M21" s="167"/>
      <c r="N21" s="122">
        <f>N22/$N$96</f>
        <v>0.10799816159691436</v>
      </c>
      <c r="O21" s="121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</row>
    <row r="22" spans="1:27" ht="15" customHeight="1">
      <c r="A22" s="317"/>
      <c r="B22" s="326"/>
      <c r="C22" s="325"/>
      <c r="D22" s="168">
        <f>48276.54</f>
        <v>48276.54</v>
      </c>
      <c r="E22" s="169">
        <f>8621.35</f>
        <v>8621.35</v>
      </c>
      <c r="F22" s="169">
        <v>17168.61</v>
      </c>
      <c r="G22" s="170"/>
      <c r="H22" s="170"/>
      <c r="I22" s="170"/>
      <c r="J22" s="170"/>
      <c r="K22" s="170"/>
      <c r="L22" s="170"/>
      <c r="M22" s="170"/>
      <c r="N22" s="120">
        <f>SUM(D22:M22)</f>
        <v>74066.5</v>
      </c>
      <c r="O22" s="119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</row>
    <row r="23" spans="1:27" ht="15" customHeight="1">
      <c r="A23" s="317"/>
      <c r="B23" s="326" t="s">
        <v>710</v>
      </c>
      <c r="C23" s="325" t="s">
        <v>738</v>
      </c>
      <c r="D23" s="166"/>
      <c r="E23" s="167">
        <f>E24/N24</f>
        <v>0.18199990517245396</v>
      </c>
      <c r="F23" s="167">
        <f>F24/N24</f>
        <v>0.17360008892025625</v>
      </c>
      <c r="G23" s="167">
        <f>G24/N24</f>
        <v>0.22289991962976838</v>
      </c>
      <c r="H23" s="167">
        <f>H24/N24</f>
        <v>0.22330002191915407</v>
      </c>
      <c r="I23" s="167">
        <f>I24/N24</f>
        <v>0.19820006435836726</v>
      </c>
      <c r="J23" s="167"/>
      <c r="K23" s="167"/>
      <c r="L23" s="167"/>
      <c r="M23" s="167"/>
      <c r="N23" s="122">
        <f>N24/$N$96</f>
        <v>7.5037758128095045E-2</v>
      </c>
      <c r="O23" s="121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</row>
    <row r="24" spans="1:27" ht="15" customHeight="1">
      <c r="A24" s="317"/>
      <c r="B24" s="326"/>
      <c r="C24" s="325"/>
      <c r="D24" s="171"/>
      <c r="E24" s="169">
        <f>9366.05</f>
        <v>9366.0499999999993</v>
      </c>
      <c r="F24" s="169">
        <f>8933.78</f>
        <v>8933.7800000000007</v>
      </c>
      <c r="G24" s="169">
        <v>11470.84</v>
      </c>
      <c r="H24" s="169">
        <v>11491.43</v>
      </c>
      <c r="I24" s="169">
        <v>10199.74</v>
      </c>
      <c r="J24" s="170"/>
      <c r="K24" s="170"/>
      <c r="L24" s="170"/>
      <c r="M24" s="170"/>
      <c r="N24" s="120">
        <f>SUM(E24:M24)</f>
        <v>51461.840000000004</v>
      </c>
      <c r="O24" s="119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</row>
    <row r="25" spans="1:27" ht="15" customHeight="1">
      <c r="A25" s="317"/>
      <c r="B25" s="326" t="s">
        <v>709</v>
      </c>
      <c r="C25" s="325" t="s">
        <v>739</v>
      </c>
      <c r="D25" s="166"/>
      <c r="E25" s="167">
        <f>E26/N26</f>
        <v>0.1211000459806543</v>
      </c>
      <c r="F25" s="167">
        <f>F26/N26</f>
        <v>0.35749980971220024</v>
      </c>
      <c r="G25" s="167">
        <f>G26/N26</f>
        <v>0.35750025482986042</v>
      </c>
      <c r="H25" s="167">
        <f>H26/N26</f>
        <v>0.16389988947728498</v>
      </c>
      <c r="I25" s="167"/>
      <c r="J25" s="167"/>
      <c r="K25" s="167"/>
      <c r="L25" s="167"/>
      <c r="M25" s="167"/>
      <c r="N25" s="122">
        <f>N26/$N$96</f>
        <v>3.27581762131521E-2</v>
      </c>
      <c r="O25" s="121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</row>
    <row r="26" spans="1:27" ht="15" customHeight="1">
      <c r="A26" s="317"/>
      <c r="B26" s="326"/>
      <c r="C26" s="325"/>
      <c r="D26" s="171"/>
      <c r="E26" s="169">
        <v>2720.63</v>
      </c>
      <c r="F26" s="169">
        <v>8031.58</v>
      </c>
      <c r="G26" s="169">
        <v>8031.59</v>
      </c>
      <c r="H26" s="169">
        <v>3682.17</v>
      </c>
      <c r="I26" s="169"/>
      <c r="J26" s="170"/>
      <c r="K26" s="170"/>
      <c r="L26" s="170"/>
      <c r="M26" s="170"/>
      <c r="N26" s="120">
        <f>SUM(D26:M26)</f>
        <v>22465.97</v>
      </c>
      <c r="O26" s="119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</row>
    <row r="27" spans="1:27" ht="15" customHeight="1">
      <c r="A27" s="317"/>
      <c r="B27" s="326" t="s">
        <v>708</v>
      </c>
      <c r="C27" s="325" t="s">
        <v>740</v>
      </c>
      <c r="D27" s="166"/>
      <c r="E27" s="167"/>
      <c r="F27" s="167"/>
      <c r="G27" s="167"/>
      <c r="H27" s="167">
        <f>H28/N28</f>
        <v>0.2494001172131049</v>
      </c>
      <c r="I27" s="167">
        <f>I28/N28</f>
        <v>0.49879996742597088</v>
      </c>
      <c r="J27" s="167">
        <f>J28/N28</f>
        <v>0.25179991536092428</v>
      </c>
      <c r="K27" s="167"/>
      <c r="L27" s="167"/>
      <c r="M27" s="167"/>
      <c r="N27" s="122">
        <f>N28/$N$96</f>
        <v>5.4611347181431187E-2</v>
      </c>
      <c r="O27" s="121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</row>
    <row r="28" spans="1:27" ht="15" customHeight="1">
      <c r="A28" s="317"/>
      <c r="B28" s="326"/>
      <c r="C28" s="325"/>
      <c r="D28" s="171"/>
      <c r="E28" s="170"/>
      <c r="F28" s="170"/>
      <c r="G28" s="170"/>
      <c r="H28" s="169">
        <v>9340.82</v>
      </c>
      <c r="I28" s="169">
        <v>18681.63</v>
      </c>
      <c r="J28" s="169">
        <v>9430.7000000000007</v>
      </c>
      <c r="K28" s="169"/>
      <c r="L28" s="170"/>
      <c r="M28" s="170"/>
      <c r="N28" s="120">
        <f>SUM(H28:M28)</f>
        <v>37453.15</v>
      </c>
      <c r="O28" s="119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</row>
    <row r="29" spans="1:27" ht="15" customHeight="1">
      <c r="A29" s="317"/>
      <c r="B29" s="326" t="s">
        <v>707</v>
      </c>
      <c r="C29" s="325" t="s">
        <v>741</v>
      </c>
      <c r="D29" s="166"/>
      <c r="E29" s="167"/>
      <c r="F29" s="167"/>
      <c r="G29" s="167"/>
      <c r="H29" s="167"/>
      <c r="I29" s="167"/>
      <c r="J29" s="167"/>
      <c r="K29" s="167"/>
      <c r="L29" s="167">
        <f>L30/N30</f>
        <v>1</v>
      </c>
      <c r="M29" s="167"/>
      <c r="N29" s="122">
        <f>N30/$N$96</f>
        <v>3.4341597106848135E-3</v>
      </c>
      <c r="O29" s="121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</row>
    <row r="30" spans="1:27" ht="15" customHeight="1">
      <c r="A30" s="317"/>
      <c r="B30" s="326"/>
      <c r="C30" s="325"/>
      <c r="D30" s="171"/>
      <c r="E30" s="170"/>
      <c r="F30" s="170"/>
      <c r="G30" s="170"/>
      <c r="H30" s="170"/>
      <c r="I30" s="170"/>
      <c r="J30" s="170"/>
      <c r="K30" s="172"/>
      <c r="L30" s="172">
        <v>2355.19</v>
      </c>
      <c r="M30" s="172"/>
      <c r="N30" s="120">
        <f>SUM(I30:M30)</f>
        <v>2355.19</v>
      </c>
      <c r="O30" s="119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</row>
    <row r="31" spans="1:27" ht="15" customHeight="1">
      <c r="A31" s="317"/>
      <c r="B31" s="326" t="s">
        <v>706</v>
      </c>
      <c r="C31" s="325" t="s">
        <v>742</v>
      </c>
      <c r="D31" s="166"/>
      <c r="E31" s="167"/>
      <c r="F31" s="167"/>
      <c r="G31" s="167"/>
      <c r="H31" s="167">
        <f>H32/N32</f>
        <v>0.11999999216687225</v>
      </c>
      <c r="I31" s="167">
        <f>I32/N32</f>
        <v>0.24010005254070438</v>
      </c>
      <c r="J31" s="167">
        <f>J32/N32</f>
        <v>0.21329998509747447</v>
      </c>
      <c r="K31" s="167">
        <f>K32/N32</f>
        <v>0.42659997019494894</v>
      </c>
      <c r="L31" s="167"/>
      <c r="M31" s="167"/>
      <c r="N31" s="122">
        <f>N32/$N$96</f>
        <v>7.4459363972023837E-2</v>
      </c>
      <c r="O31" s="121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</row>
    <row r="32" spans="1:27" ht="15" customHeight="1">
      <c r="A32" s="317"/>
      <c r="B32" s="326"/>
      <c r="C32" s="325"/>
      <c r="D32" s="171"/>
      <c r="E32" s="169"/>
      <c r="F32" s="169"/>
      <c r="G32" s="169"/>
      <c r="H32" s="169">
        <v>6127.82</v>
      </c>
      <c r="I32" s="169">
        <v>12260.75</v>
      </c>
      <c r="J32" s="169">
        <v>10892.2</v>
      </c>
      <c r="K32" s="172">
        <v>21784.400000000001</v>
      </c>
      <c r="L32" s="170"/>
      <c r="M32" s="170"/>
      <c r="N32" s="120">
        <f>SUM(E32:M32)</f>
        <v>51065.17</v>
      </c>
      <c r="O32" s="119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</row>
    <row r="33" spans="1:27" ht="15" customHeight="1">
      <c r="A33" s="317"/>
      <c r="B33" s="326" t="s">
        <v>705</v>
      </c>
      <c r="C33" s="325" t="s">
        <v>743</v>
      </c>
      <c r="D33" s="166"/>
      <c r="E33" s="167"/>
      <c r="F33" s="167"/>
      <c r="G33" s="167"/>
      <c r="H33" s="167"/>
      <c r="I33" s="167"/>
      <c r="J33" s="167">
        <f>J34/N34</f>
        <v>0.33330062973942803</v>
      </c>
      <c r="K33" s="167">
        <f>K34/N34</f>
        <v>0.66669937026057202</v>
      </c>
      <c r="L33" s="167"/>
      <c r="M33" s="167"/>
      <c r="N33" s="122">
        <f>N34/$N$96</f>
        <v>1.9915105088474602E-2</v>
      </c>
      <c r="O33" s="121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</row>
    <row r="34" spans="1:27" ht="15" customHeight="1">
      <c r="A34" s="317"/>
      <c r="B34" s="326"/>
      <c r="C34" s="325"/>
      <c r="D34" s="171"/>
      <c r="E34" s="170"/>
      <c r="F34" s="170"/>
      <c r="G34" s="170"/>
      <c r="H34" s="170"/>
      <c r="I34" s="170"/>
      <c r="J34" s="172">
        <v>4552.2299999999996</v>
      </c>
      <c r="K34" s="172">
        <v>9105.7999999999993</v>
      </c>
      <c r="L34" s="170"/>
      <c r="M34" s="170"/>
      <c r="N34" s="120">
        <f>SUM(H34:M34)</f>
        <v>13658.029999999999</v>
      </c>
      <c r="O34" s="119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</row>
    <row r="35" spans="1:27" ht="15" customHeight="1">
      <c r="A35" s="317"/>
      <c r="B35" s="326" t="s">
        <v>704</v>
      </c>
      <c r="C35" s="325" t="s">
        <v>744</v>
      </c>
      <c r="D35" s="166"/>
      <c r="E35" s="167"/>
      <c r="F35" s="167"/>
      <c r="G35" s="167"/>
      <c r="H35" s="167"/>
      <c r="I35" s="167"/>
      <c r="J35" s="167"/>
      <c r="K35" s="167">
        <f>K36/N36</f>
        <v>0.49999903514950367</v>
      </c>
      <c r="L35" s="167">
        <f>L36/N36</f>
        <v>0.50000096485049639</v>
      </c>
      <c r="M35" s="167"/>
      <c r="N35" s="122">
        <f>N36/$N$96</f>
        <v>7.5562187104757173E-3</v>
      </c>
      <c r="O35" s="121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</row>
    <row r="36" spans="1:27" ht="15" customHeight="1">
      <c r="A36" s="317"/>
      <c r="B36" s="326"/>
      <c r="C36" s="325"/>
      <c r="D36" s="171"/>
      <c r="E36" s="169"/>
      <c r="F36" s="169"/>
      <c r="G36" s="169"/>
      <c r="H36" s="169"/>
      <c r="I36" s="169"/>
      <c r="J36" s="169"/>
      <c r="K36" s="169">
        <f>2591.07</f>
        <v>2591.0700000000002</v>
      </c>
      <c r="L36" s="169">
        <v>2591.08</v>
      </c>
      <c r="M36" s="169"/>
      <c r="N36" s="120">
        <f>SUM(F36:M36)</f>
        <v>5182.1499999999996</v>
      </c>
      <c r="O36" s="119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</row>
    <row r="37" spans="1:27" ht="15" customHeight="1">
      <c r="A37" s="317"/>
      <c r="B37" s="326" t="s">
        <v>703</v>
      </c>
      <c r="C37" s="325" t="s">
        <v>745</v>
      </c>
      <c r="D37" s="166"/>
      <c r="E37" s="167"/>
      <c r="F37" s="167"/>
      <c r="G37" s="167"/>
      <c r="H37" s="167"/>
      <c r="I37" s="167">
        <f>I38/N38</f>
        <v>7.6799771088449556E-2</v>
      </c>
      <c r="J37" s="167">
        <f>J38/N38</f>
        <v>0.10050012197437294</v>
      </c>
      <c r="K37" s="167">
        <f>K38/N38</f>
        <v>0.28950008897908808</v>
      </c>
      <c r="L37" s="167">
        <f>L38/N38</f>
        <v>0.53320001795808958</v>
      </c>
      <c r="M37" s="167"/>
      <c r="N37" s="122">
        <f>N38/$N$96</f>
        <v>5.391411589696659E-2</v>
      </c>
      <c r="O37" s="121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</row>
    <row r="38" spans="1:27" ht="15" customHeight="1">
      <c r="A38" s="317"/>
      <c r="B38" s="326"/>
      <c r="C38" s="325"/>
      <c r="D38" s="171"/>
      <c r="E38" s="170"/>
      <c r="F38" s="170"/>
      <c r="G38" s="170"/>
      <c r="H38" s="170"/>
      <c r="I38" s="172">
        <v>2839.67</v>
      </c>
      <c r="J38" s="172">
        <v>3715.99</v>
      </c>
      <c r="K38" s="172">
        <v>10704.26</v>
      </c>
      <c r="L38" s="169">
        <v>19715.060000000001</v>
      </c>
      <c r="M38" s="169"/>
      <c r="N38" s="120">
        <f>SUM(I38:M38)</f>
        <v>36974.979999999996</v>
      </c>
      <c r="O38" s="119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</row>
    <row r="39" spans="1:27" ht="15" customHeight="1">
      <c r="A39" s="317"/>
      <c r="B39" s="326" t="s">
        <v>702</v>
      </c>
      <c r="C39" s="325" t="s">
        <v>746</v>
      </c>
      <c r="D39" s="166"/>
      <c r="E39" s="167"/>
      <c r="F39" s="167"/>
      <c r="G39" s="167"/>
      <c r="H39" s="167"/>
      <c r="I39" s="167"/>
      <c r="J39" s="167">
        <f>J40/N40</f>
        <v>0.33330012973502726</v>
      </c>
      <c r="K39" s="167">
        <f>K40/N40</f>
        <v>0.50000040165643111</v>
      </c>
      <c r="L39" s="167">
        <f>L40/N40</f>
        <v>0.16669946860854165</v>
      </c>
      <c r="M39" s="167"/>
      <c r="N39" s="122">
        <f>N40/$N$96</f>
        <v>1.8151387128203824E-2</v>
      </c>
      <c r="O39" s="121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</row>
    <row r="40" spans="1:27" ht="15" customHeight="1">
      <c r="A40" s="317"/>
      <c r="B40" s="326"/>
      <c r="C40" s="325"/>
      <c r="D40" s="173"/>
      <c r="E40" s="170"/>
      <c r="F40" s="170"/>
      <c r="G40" s="170"/>
      <c r="H40" s="170"/>
      <c r="I40" s="174"/>
      <c r="J40" s="172">
        <v>4149.07</v>
      </c>
      <c r="K40" s="172">
        <v>6224.23</v>
      </c>
      <c r="L40" s="172">
        <v>2075.15</v>
      </c>
      <c r="M40" s="170"/>
      <c r="N40" s="128">
        <f>SUM(J40:M40)</f>
        <v>12448.449999999999</v>
      </c>
      <c r="O40" s="119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</row>
    <row r="41" spans="1:27" ht="15" customHeight="1">
      <c r="A41" s="317"/>
      <c r="B41" s="326" t="s">
        <v>701</v>
      </c>
      <c r="C41" s="325" t="s">
        <v>747</v>
      </c>
      <c r="D41" s="166"/>
      <c r="E41" s="167"/>
      <c r="F41" s="167"/>
      <c r="G41" s="167"/>
      <c r="H41" s="167"/>
      <c r="I41" s="167"/>
      <c r="J41" s="167"/>
      <c r="K41" s="167">
        <f>K42/N42</f>
        <v>0.31890007831707096</v>
      </c>
      <c r="L41" s="167">
        <f>L42/N42</f>
        <v>0.56040000547155588</v>
      </c>
      <c r="M41" s="167">
        <f>M42/N42</f>
        <v>0.12069991621137315</v>
      </c>
      <c r="N41" s="122">
        <f>N42/$N$96</f>
        <v>0.13431182220915741</v>
      </c>
      <c r="O41" s="121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</row>
    <row r="42" spans="1:27" ht="15" customHeight="1">
      <c r="A42" s="317"/>
      <c r="B42" s="326"/>
      <c r="C42" s="325"/>
      <c r="D42" s="175"/>
      <c r="E42" s="169"/>
      <c r="F42" s="169"/>
      <c r="G42" s="169"/>
      <c r="H42" s="169"/>
      <c r="I42" s="169"/>
      <c r="J42" s="169"/>
      <c r="K42" s="169">
        <v>29374.76</v>
      </c>
      <c r="L42" s="169">
        <v>51619.98</v>
      </c>
      <c r="M42" s="169">
        <v>11118</v>
      </c>
      <c r="N42" s="120">
        <f>SUM(E42:M42)</f>
        <v>92112.74</v>
      </c>
      <c r="O42" s="119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</row>
    <row r="43" spans="1:27" ht="15" customHeight="1">
      <c r="A43" s="317"/>
      <c r="B43" s="326" t="s">
        <v>700</v>
      </c>
      <c r="C43" s="325" t="s">
        <v>751</v>
      </c>
      <c r="D43" s="166"/>
      <c r="E43" s="167"/>
      <c r="F43" s="167"/>
      <c r="G43" s="167">
        <f>G44/N44</f>
        <v>8.6499930765095712E-2</v>
      </c>
      <c r="H43" s="167">
        <f>H44/N44</f>
        <v>0.1730998967531199</v>
      </c>
      <c r="I43" s="167">
        <f>I44/N44</f>
        <v>0.1731004232542932</v>
      </c>
      <c r="J43" s="167">
        <f>J44/N44</f>
        <v>0.12580008434548795</v>
      </c>
      <c r="K43" s="167">
        <f>K44/N44</f>
        <v>0.29429994034741702</v>
      </c>
      <c r="L43" s="167">
        <f>L44/N44</f>
        <v>0.1471997245345861</v>
      </c>
      <c r="M43" s="167"/>
      <c r="N43" s="122">
        <f>N44/$N$96</f>
        <v>2.7694606369145156E-2</v>
      </c>
      <c r="O43" s="121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</row>
    <row r="44" spans="1:27" ht="15" customHeight="1">
      <c r="A44" s="317"/>
      <c r="B44" s="326"/>
      <c r="C44" s="325"/>
      <c r="D44" s="168"/>
      <c r="E44" s="169"/>
      <c r="F44" s="169"/>
      <c r="G44" s="169">
        <v>1642.92</v>
      </c>
      <c r="H44" s="169">
        <v>3287.74</v>
      </c>
      <c r="I44" s="169">
        <v>3287.75</v>
      </c>
      <c r="J44" s="169">
        <v>2389.36</v>
      </c>
      <c r="K44" s="169">
        <v>5589.73</v>
      </c>
      <c r="L44" s="169">
        <v>2795.81</v>
      </c>
      <c r="M44" s="169"/>
      <c r="N44" s="120">
        <f>SUM(E44:M44)</f>
        <v>18993.310000000001</v>
      </c>
      <c r="O44" s="119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</row>
    <row r="45" spans="1:27" ht="15" customHeight="1">
      <c r="A45" s="317"/>
      <c r="B45" s="326" t="s">
        <v>699</v>
      </c>
      <c r="C45" s="325" t="s">
        <v>750</v>
      </c>
      <c r="D45" s="166"/>
      <c r="E45" s="167"/>
      <c r="F45" s="167"/>
      <c r="G45" s="167"/>
      <c r="H45" s="167">
        <f>H46/N46</f>
        <v>0.22720016507231786</v>
      </c>
      <c r="I45" s="167">
        <f>I46/N46</f>
        <v>7.5499812874186722E-2</v>
      </c>
      <c r="J45" s="167">
        <f>J46/N46</f>
        <v>0.14540004590727632</v>
      </c>
      <c r="K45" s="167">
        <f>K46/N46</f>
        <v>0.31929999366438044</v>
      </c>
      <c r="L45" s="167">
        <f>L46/N46</f>
        <v>0.23259998248183877</v>
      </c>
      <c r="M45" s="167"/>
      <c r="N45" s="122">
        <f>N46/$N$96</f>
        <v>4.2116913570850102E-2</v>
      </c>
      <c r="O45" s="121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</row>
    <row r="46" spans="1:27" ht="15" customHeight="1">
      <c r="A46" s="317"/>
      <c r="B46" s="326"/>
      <c r="C46" s="325"/>
      <c r="D46" s="168"/>
      <c r="E46" s="169"/>
      <c r="F46" s="169"/>
      <c r="G46" s="169"/>
      <c r="H46" s="169">
        <v>6562.52</v>
      </c>
      <c r="I46" s="169">
        <v>2180.7600000000002</v>
      </c>
      <c r="J46" s="169">
        <v>4199.78</v>
      </c>
      <c r="K46" s="169">
        <v>9222.76</v>
      </c>
      <c r="L46" s="169">
        <v>6718.49</v>
      </c>
      <c r="M46" s="169"/>
      <c r="N46" s="120">
        <f>SUM(F46:M46)</f>
        <v>28884.309999999998</v>
      </c>
      <c r="O46" s="119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</row>
    <row r="47" spans="1:27" ht="15" customHeight="1">
      <c r="A47" s="317"/>
      <c r="B47" s="326" t="s">
        <v>698</v>
      </c>
      <c r="C47" s="325" t="s">
        <v>749</v>
      </c>
      <c r="D47" s="166"/>
      <c r="E47" s="167"/>
      <c r="F47" s="167"/>
      <c r="G47" s="167"/>
      <c r="H47" s="167"/>
      <c r="I47" s="167"/>
      <c r="J47" s="167"/>
      <c r="K47" s="167"/>
      <c r="L47" s="167"/>
      <c r="M47" s="167">
        <f>M48/N48</f>
        <v>1</v>
      </c>
      <c r="N47" s="122">
        <f>N48/$N$96</f>
        <v>5.7645485078576851E-3</v>
      </c>
      <c r="O47" s="121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</row>
    <row r="48" spans="1:27" ht="15" customHeight="1">
      <c r="A48" s="317"/>
      <c r="B48" s="326"/>
      <c r="C48" s="325"/>
      <c r="D48" s="168"/>
      <c r="E48" s="169"/>
      <c r="F48" s="169"/>
      <c r="G48" s="169"/>
      <c r="H48" s="169"/>
      <c r="I48" s="169"/>
      <c r="J48" s="169"/>
      <c r="K48" s="169"/>
      <c r="L48" s="169"/>
      <c r="M48" s="169">
        <v>3953.4</v>
      </c>
      <c r="N48" s="120">
        <f>SUM(F48:M48)</f>
        <v>3953.4</v>
      </c>
      <c r="O48" s="119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</row>
    <row r="49" spans="1:27" ht="15" customHeight="1">
      <c r="A49" s="317"/>
      <c r="B49" s="334" t="s">
        <v>697</v>
      </c>
      <c r="C49" s="335" t="s">
        <v>822</v>
      </c>
      <c r="D49" s="176"/>
      <c r="E49" s="177"/>
      <c r="F49" s="177"/>
      <c r="G49" s="177"/>
      <c r="H49" s="177"/>
      <c r="I49" s="177"/>
      <c r="J49" s="177"/>
      <c r="K49" s="177"/>
      <c r="L49" s="177"/>
      <c r="M49" s="178">
        <f>M50/N50</f>
        <v>1</v>
      </c>
      <c r="N49" s="164">
        <f>N50/$N$96</f>
        <v>3.1279827754695667E-3</v>
      </c>
      <c r="O49" s="119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</row>
    <row r="50" spans="1:27" ht="15" customHeight="1">
      <c r="A50" s="317"/>
      <c r="B50" s="337"/>
      <c r="C50" s="336"/>
      <c r="D50" s="179"/>
      <c r="E50" s="180"/>
      <c r="F50" s="180"/>
      <c r="G50" s="180"/>
      <c r="H50" s="180"/>
      <c r="I50" s="180"/>
      <c r="J50" s="180"/>
      <c r="K50" s="180"/>
      <c r="L50" s="180"/>
      <c r="M50" s="180">
        <v>2145.21</v>
      </c>
      <c r="N50" s="163">
        <f>SUM(M50)</f>
        <v>2145.21</v>
      </c>
      <c r="O50" s="119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</row>
    <row r="51" spans="1:27" ht="15" customHeight="1">
      <c r="A51" s="317"/>
      <c r="B51" s="326" t="s">
        <v>824</v>
      </c>
      <c r="C51" s="325" t="s">
        <v>748</v>
      </c>
      <c r="D51" s="166"/>
      <c r="E51" s="167"/>
      <c r="F51" s="167"/>
      <c r="G51" s="167"/>
      <c r="H51" s="167"/>
      <c r="I51" s="167"/>
      <c r="J51" s="167"/>
      <c r="K51" s="167"/>
      <c r="L51" s="167"/>
      <c r="M51" s="167">
        <f>M52/N52</f>
        <v>1</v>
      </c>
      <c r="N51" s="122">
        <f>N52/$N$96</f>
        <v>2.1336295075360234E-3</v>
      </c>
      <c r="O51" s="121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</row>
    <row r="52" spans="1:27" ht="15" customHeight="1" thickBot="1">
      <c r="A52" s="318"/>
      <c r="B52" s="332"/>
      <c r="C52" s="331"/>
      <c r="D52" s="168"/>
      <c r="E52" s="169"/>
      <c r="F52" s="169"/>
      <c r="G52" s="169"/>
      <c r="H52" s="169"/>
      <c r="I52" s="169"/>
      <c r="J52" s="169"/>
      <c r="K52" s="169"/>
      <c r="L52" s="169"/>
      <c r="M52" s="169">
        <v>1463.27</v>
      </c>
      <c r="N52" s="120">
        <f>SUM(G52:M52)</f>
        <v>1463.27</v>
      </c>
      <c r="O52" s="119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</row>
    <row r="53" spans="1:27" ht="15" customHeight="1">
      <c r="A53" s="316" t="s">
        <v>40</v>
      </c>
      <c r="B53" s="333" t="s">
        <v>712</v>
      </c>
      <c r="C53" s="324" t="s">
        <v>736</v>
      </c>
      <c r="D53" s="167"/>
      <c r="E53" s="167">
        <f>E54/N54</f>
        <v>0.33330085682312915</v>
      </c>
      <c r="F53" s="167">
        <f>F54/N54</f>
        <v>0.66669914317687085</v>
      </c>
      <c r="G53" s="167"/>
      <c r="H53" s="167"/>
      <c r="I53" s="167"/>
      <c r="J53" s="167"/>
      <c r="K53" s="167"/>
      <c r="L53" s="167"/>
      <c r="M53" s="167"/>
      <c r="N53" s="122">
        <f>N52/$N$96</f>
        <v>2.1336295075360234E-3</v>
      </c>
      <c r="O53" s="121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</row>
    <row r="54" spans="1:27" ht="15" customHeight="1">
      <c r="A54" s="317"/>
      <c r="B54" s="326"/>
      <c r="C54" s="325"/>
      <c r="D54" s="169"/>
      <c r="E54" s="169">
        <v>1197.33</v>
      </c>
      <c r="F54" s="169">
        <v>2395.0100000000002</v>
      </c>
      <c r="G54" s="169"/>
      <c r="H54" s="169"/>
      <c r="I54" s="169"/>
      <c r="J54" s="169"/>
      <c r="K54" s="169"/>
      <c r="L54" s="169"/>
      <c r="M54" s="169"/>
      <c r="N54" s="120">
        <f>SUM(D54:M54)</f>
        <v>3592.34</v>
      </c>
      <c r="O54" s="119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</row>
    <row r="55" spans="1:27" ht="15" customHeight="1">
      <c r="A55" s="317"/>
      <c r="B55" s="326" t="s">
        <v>711</v>
      </c>
      <c r="C55" s="325" t="s">
        <v>737</v>
      </c>
      <c r="D55" s="167"/>
      <c r="E55" s="167"/>
      <c r="F55" s="167">
        <f>F56/N56</f>
        <v>0.6081003704657475</v>
      </c>
      <c r="G55" s="167">
        <f>G56/N56</f>
        <v>0.3918996295342525</v>
      </c>
      <c r="H55" s="167"/>
      <c r="I55" s="167"/>
      <c r="J55" s="167"/>
      <c r="K55" s="167"/>
      <c r="L55" s="167"/>
      <c r="M55" s="167"/>
      <c r="N55" s="122">
        <f>N56/$N$96</f>
        <v>2.5083630717779172E-2</v>
      </c>
      <c r="O55" s="121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</row>
    <row r="56" spans="1:27" ht="15" customHeight="1">
      <c r="A56" s="317"/>
      <c r="B56" s="326"/>
      <c r="C56" s="325"/>
      <c r="D56" s="169"/>
      <c r="E56" s="169"/>
      <c r="F56" s="169">
        <v>10460.950000000001</v>
      </c>
      <c r="G56" s="169">
        <v>6741.72</v>
      </c>
      <c r="H56" s="169"/>
      <c r="I56" s="169"/>
      <c r="J56" s="169"/>
      <c r="K56" s="169"/>
      <c r="L56" s="169"/>
      <c r="M56" s="169"/>
      <c r="N56" s="120">
        <f>SUM(D56:M56)</f>
        <v>17202.670000000002</v>
      </c>
      <c r="O56" s="119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</row>
    <row r="57" spans="1:27" ht="15" customHeight="1">
      <c r="A57" s="317"/>
      <c r="B57" s="326" t="s">
        <v>710</v>
      </c>
      <c r="C57" s="325" t="s">
        <v>738</v>
      </c>
      <c r="D57" s="166"/>
      <c r="E57" s="167"/>
      <c r="F57" s="167"/>
      <c r="G57" s="167">
        <f>G58/N58</f>
        <v>0.49450013040287744</v>
      </c>
      <c r="H57" s="167">
        <f>H58/N58</f>
        <v>0.50549986959712268</v>
      </c>
      <c r="I57" s="167"/>
      <c r="J57" s="167"/>
      <c r="K57" s="167"/>
      <c r="L57" s="167"/>
      <c r="M57" s="167"/>
      <c r="N57" s="122">
        <f>N58/$N$96</f>
        <v>2.7003776250246782E-2</v>
      </c>
      <c r="O57" s="121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</row>
    <row r="58" spans="1:27" ht="15" customHeight="1">
      <c r="A58" s="317"/>
      <c r="B58" s="326"/>
      <c r="C58" s="325"/>
      <c r="D58" s="168"/>
      <c r="E58" s="169"/>
      <c r="F58" s="169"/>
      <c r="G58" s="169">
        <v>9157.91</v>
      </c>
      <c r="H58" s="169">
        <v>9361.6200000000008</v>
      </c>
      <c r="I58" s="169"/>
      <c r="J58" s="169"/>
      <c r="K58" s="169"/>
      <c r="L58" s="169"/>
      <c r="M58" s="169"/>
      <c r="N58" s="120">
        <f>SUM(E58:M58)</f>
        <v>18519.53</v>
      </c>
      <c r="O58" s="119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</row>
    <row r="59" spans="1:27" ht="15" customHeight="1">
      <c r="A59" s="317"/>
      <c r="B59" s="334" t="s">
        <v>709</v>
      </c>
      <c r="C59" s="325" t="s">
        <v>739</v>
      </c>
      <c r="D59" s="166"/>
      <c r="E59" s="167"/>
      <c r="F59" s="167"/>
      <c r="G59" s="167">
        <f>G60/N60</f>
        <v>0.33330038329410805</v>
      </c>
      <c r="H59" s="167">
        <f>H60/N60</f>
        <v>0.66669961670589206</v>
      </c>
      <c r="I59" s="167"/>
      <c r="J59" s="167"/>
      <c r="K59" s="167"/>
      <c r="L59" s="167"/>
      <c r="M59" s="167"/>
      <c r="N59" s="122">
        <f>N60/$N$96</f>
        <v>1.3128265651578867E-2</v>
      </c>
      <c r="O59" s="121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</row>
    <row r="60" spans="1:27" ht="15" customHeight="1">
      <c r="A60" s="317"/>
      <c r="B60" s="334"/>
      <c r="C60" s="325"/>
      <c r="D60" s="168"/>
      <c r="E60" s="169"/>
      <c r="F60" s="169"/>
      <c r="G60" s="169">
        <v>3000.88</v>
      </c>
      <c r="H60" s="169">
        <v>6002.65</v>
      </c>
      <c r="I60" s="169"/>
      <c r="J60" s="169"/>
      <c r="K60" s="169"/>
      <c r="L60" s="169"/>
      <c r="M60" s="169"/>
      <c r="N60" s="120">
        <f>SUM(G60:M60)</f>
        <v>9003.5299999999988</v>
      </c>
      <c r="O60" s="119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</row>
    <row r="61" spans="1:27" ht="15" customHeight="1">
      <c r="A61" s="317"/>
      <c r="B61" s="326" t="s">
        <v>708</v>
      </c>
      <c r="C61" s="325" t="s">
        <v>740</v>
      </c>
      <c r="D61" s="166"/>
      <c r="E61" s="167"/>
      <c r="F61" s="167"/>
      <c r="G61" s="167"/>
      <c r="H61" s="167"/>
      <c r="I61" s="167">
        <f>I62/N62</f>
        <v>1</v>
      </c>
      <c r="J61" s="167"/>
      <c r="K61" s="167"/>
      <c r="L61" s="167"/>
      <c r="M61" s="167"/>
      <c r="N61" s="122">
        <f>N62/$N$96</f>
        <v>9.5810138221432486E-3</v>
      </c>
      <c r="O61" s="121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</row>
    <row r="62" spans="1:27" ht="15" customHeight="1">
      <c r="A62" s="317"/>
      <c r="B62" s="326"/>
      <c r="C62" s="325"/>
      <c r="D62" s="168"/>
      <c r="E62" s="169"/>
      <c r="F62" s="169"/>
      <c r="G62" s="169"/>
      <c r="H62" s="169"/>
      <c r="I62" s="169">
        <v>6570.78</v>
      </c>
      <c r="J62" s="169"/>
      <c r="K62" s="169"/>
      <c r="L62" s="169"/>
      <c r="M62" s="169"/>
      <c r="N62" s="120">
        <f>SUM(H62:M62)</f>
        <v>6570.78</v>
      </c>
      <c r="O62" s="119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</row>
    <row r="63" spans="1:27" ht="15" customHeight="1">
      <c r="A63" s="317"/>
      <c r="B63" s="326" t="s">
        <v>707</v>
      </c>
      <c r="C63" s="325" t="s">
        <v>741</v>
      </c>
      <c r="D63" s="166"/>
      <c r="E63" s="167"/>
      <c r="F63" s="167"/>
      <c r="G63" s="167"/>
      <c r="H63" s="167"/>
      <c r="I63" s="167">
        <f>I64/N64</f>
        <v>1</v>
      </c>
      <c r="J63" s="167"/>
      <c r="K63" s="167"/>
      <c r="L63" s="167"/>
      <c r="M63" s="167"/>
      <c r="N63" s="122">
        <f>N64/$N$96</f>
        <v>6.1198496498897793E-3</v>
      </c>
      <c r="O63" s="121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118"/>
    </row>
    <row r="64" spans="1:27" ht="15" customHeight="1">
      <c r="A64" s="317"/>
      <c r="B64" s="326"/>
      <c r="C64" s="325"/>
      <c r="D64" s="168"/>
      <c r="E64" s="169"/>
      <c r="F64" s="169"/>
      <c r="G64" s="169"/>
      <c r="H64" s="169"/>
      <c r="I64" s="169">
        <v>4197.07</v>
      </c>
      <c r="J64" s="169"/>
      <c r="K64" s="169"/>
      <c r="L64" s="169"/>
      <c r="M64" s="169"/>
      <c r="N64" s="120">
        <f>SUM(I64:M64)</f>
        <v>4197.07</v>
      </c>
      <c r="O64" s="119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118"/>
    </row>
    <row r="65" spans="1:27" ht="15" customHeight="1">
      <c r="A65" s="317"/>
      <c r="B65" s="326" t="s">
        <v>706</v>
      </c>
      <c r="C65" s="325" t="s">
        <v>742</v>
      </c>
      <c r="D65" s="166"/>
      <c r="E65" s="167"/>
      <c r="F65" s="167"/>
      <c r="G65" s="167"/>
      <c r="H65" s="167">
        <f>H66/N66</f>
        <v>1</v>
      </c>
      <c r="I65" s="167"/>
      <c r="J65" s="167"/>
      <c r="K65" s="167"/>
      <c r="L65" s="167"/>
      <c r="M65" s="167"/>
      <c r="N65" s="122">
        <f>N66/$N$96</f>
        <v>1.5020371454242745E-2</v>
      </c>
      <c r="O65" s="121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</row>
    <row r="66" spans="1:27" ht="15" customHeight="1">
      <c r="A66" s="317"/>
      <c r="B66" s="326"/>
      <c r="C66" s="325"/>
      <c r="D66" s="168"/>
      <c r="E66" s="169"/>
      <c r="F66" s="169"/>
      <c r="G66" s="169"/>
      <c r="H66" s="169">
        <v>10301.16</v>
      </c>
      <c r="I66" s="169"/>
      <c r="J66" s="169"/>
      <c r="K66" s="169"/>
      <c r="L66" s="169"/>
      <c r="M66" s="169"/>
      <c r="N66" s="120">
        <f>SUM(F66:M66)</f>
        <v>10301.16</v>
      </c>
      <c r="O66" s="119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</row>
    <row r="67" spans="1:27" ht="15" customHeight="1">
      <c r="A67" s="317"/>
      <c r="B67" s="326" t="s">
        <v>705</v>
      </c>
      <c r="C67" s="325" t="s">
        <v>743</v>
      </c>
      <c r="D67" s="166"/>
      <c r="E67" s="167"/>
      <c r="F67" s="167"/>
      <c r="G67" s="167"/>
      <c r="H67" s="167"/>
      <c r="I67" s="167">
        <f>I68/N68</f>
        <v>1</v>
      </c>
      <c r="J67" s="167"/>
      <c r="K67" s="167"/>
      <c r="L67" s="167"/>
      <c r="M67" s="167"/>
      <c r="N67" s="122">
        <f>N68/$N$96</f>
        <v>3.4867542532756031E-3</v>
      </c>
      <c r="O67" s="121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</row>
    <row r="68" spans="1:27" ht="15" customHeight="1">
      <c r="A68" s="317"/>
      <c r="B68" s="326"/>
      <c r="C68" s="325"/>
      <c r="D68" s="168"/>
      <c r="E68" s="169"/>
      <c r="F68" s="169"/>
      <c r="G68" s="169"/>
      <c r="H68" s="169"/>
      <c r="I68" s="169">
        <v>2391.2600000000002</v>
      </c>
      <c r="J68" s="169"/>
      <c r="K68" s="169"/>
      <c r="L68" s="169"/>
      <c r="M68" s="169"/>
      <c r="N68" s="120">
        <f>SUM(H68:M68)</f>
        <v>2391.2600000000002</v>
      </c>
      <c r="O68" s="119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</row>
    <row r="69" spans="1:27" ht="15" customHeight="1">
      <c r="A69" s="317"/>
      <c r="B69" s="326" t="s">
        <v>704</v>
      </c>
      <c r="C69" s="325" t="s">
        <v>744</v>
      </c>
      <c r="D69" s="166"/>
      <c r="E69" s="167"/>
      <c r="F69" s="167"/>
      <c r="G69" s="167"/>
      <c r="H69" s="167"/>
      <c r="I69" s="167"/>
      <c r="J69" s="167">
        <f>J70/N70</f>
        <v>1</v>
      </c>
      <c r="K69" s="167"/>
      <c r="L69" s="167"/>
      <c r="M69" s="167"/>
      <c r="N69" s="122">
        <f>N70/$N$96</f>
        <v>2.8493060640763959E-3</v>
      </c>
      <c r="O69" s="121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</row>
    <row r="70" spans="1:27" ht="15" customHeight="1">
      <c r="A70" s="317"/>
      <c r="B70" s="326"/>
      <c r="C70" s="325"/>
      <c r="D70" s="171"/>
      <c r="E70" s="170"/>
      <c r="F70" s="169"/>
      <c r="G70" s="169"/>
      <c r="H70" s="169"/>
      <c r="I70" s="169"/>
      <c r="J70" s="169">
        <v>1954.09</v>
      </c>
      <c r="K70" s="170"/>
      <c r="L70" s="170"/>
      <c r="M70" s="170"/>
      <c r="N70" s="120">
        <f>SUM(F70:M70)</f>
        <v>1954.09</v>
      </c>
      <c r="O70" s="119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</row>
    <row r="71" spans="1:27" ht="15" customHeight="1">
      <c r="A71" s="317"/>
      <c r="B71" s="326" t="s">
        <v>703</v>
      </c>
      <c r="C71" s="325" t="s">
        <v>745</v>
      </c>
      <c r="D71" s="166"/>
      <c r="E71" s="167"/>
      <c r="F71" s="167"/>
      <c r="G71" s="167"/>
      <c r="H71" s="167">
        <f>H72/N72</f>
        <v>0.33330000635908069</v>
      </c>
      <c r="I71" s="167">
        <f>I72/N72</f>
        <v>0.66669999364091925</v>
      </c>
      <c r="J71" s="167"/>
      <c r="K71" s="167"/>
      <c r="L71" s="167"/>
      <c r="M71" s="167"/>
      <c r="N71" s="122">
        <f>N72/$N$96</f>
        <v>3.9668547938605969E-2</v>
      </c>
      <c r="O71" s="121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</row>
    <row r="72" spans="1:27" ht="15" customHeight="1">
      <c r="A72" s="317"/>
      <c r="B72" s="326"/>
      <c r="C72" s="325"/>
      <c r="D72" s="171"/>
      <c r="E72" s="170"/>
      <c r="F72" s="170"/>
      <c r="G72" s="169"/>
      <c r="H72" s="169">
        <v>9067.49</v>
      </c>
      <c r="I72" s="169">
        <v>18137.7</v>
      </c>
      <c r="J72" s="170"/>
      <c r="K72" s="170"/>
      <c r="L72" s="170"/>
      <c r="M72" s="170"/>
      <c r="N72" s="120">
        <f>SUM(G72:M72)</f>
        <v>27205.190000000002</v>
      </c>
      <c r="O72" s="119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</row>
    <row r="73" spans="1:27" ht="15" customHeight="1">
      <c r="A73" s="317"/>
      <c r="B73" s="326" t="s">
        <v>702</v>
      </c>
      <c r="C73" s="325" t="s">
        <v>746</v>
      </c>
      <c r="D73" s="166"/>
      <c r="E73" s="167"/>
      <c r="F73" s="167"/>
      <c r="G73" s="167"/>
      <c r="H73" s="167">
        <f>H74/N74</f>
        <v>0.25000032295110136</v>
      </c>
      <c r="I73" s="167">
        <f>I74/N74</f>
        <v>0.74999967704889869</v>
      </c>
      <c r="J73" s="167"/>
      <c r="K73" s="167"/>
      <c r="L73" s="167"/>
      <c r="M73" s="167"/>
      <c r="N73" s="122">
        <f>N74/$N$96</f>
        <v>1.1287500404629485E-2</v>
      </c>
      <c r="O73" s="121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</row>
    <row r="74" spans="1:27" ht="15" customHeight="1">
      <c r="A74" s="317"/>
      <c r="B74" s="326"/>
      <c r="C74" s="325"/>
      <c r="D74" s="171"/>
      <c r="E74" s="169"/>
      <c r="F74" s="169"/>
      <c r="G74" s="169"/>
      <c r="H74" s="169">
        <v>1935.28</v>
      </c>
      <c r="I74" s="169">
        <v>5805.83</v>
      </c>
      <c r="J74" s="169"/>
      <c r="K74" s="169"/>
      <c r="L74" s="169"/>
      <c r="M74" s="169"/>
      <c r="N74" s="120">
        <f>SUM(E74:M74)</f>
        <v>7741.11</v>
      </c>
      <c r="O74" s="119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</row>
    <row r="75" spans="1:27" ht="15" customHeight="1">
      <c r="A75" s="317"/>
      <c r="B75" s="326" t="s">
        <v>701</v>
      </c>
      <c r="C75" s="325" t="s">
        <v>747</v>
      </c>
      <c r="D75" s="166"/>
      <c r="E75" s="167"/>
      <c r="F75" s="167"/>
      <c r="G75" s="167"/>
      <c r="H75" s="167"/>
      <c r="I75" s="167">
        <f>I76/N76</f>
        <v>1</v>
      </c>
      <c r="J75" s="167"/>
      <c r="K75" s="167"/>
      <c r="L75" s="167"/>
      <c r="M75" s="167"/>
      <c r="N75" s="122">
        <f>N76/$N$96</f>
        <v>1.6405574934027164E-2</v>
      </c>
      <c r="O75" s="121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</row>
    <row r="76" spans="1:27" ht="15" customHeight="1">
      <c r="A76" s="317"/>
      <c r="B76" s="326"/>
      <c r="C76" s="325"/>
      <c r="D76" s="168"/>
      <c r="E76" s="169"/>
      <c r="F76" s="169"/>
      <c r="G76" s="169"/>
      <c r="H76" s="169"/>
      <c r="I76" s="169">
        <v>11251.15</v>
      </c>
      <c r="J76" s="169"/>
      <c r="K76" s="169"/>
      <c r="L76" s="169"/>
      <c r="M76" s="169"/>
      <c r="N76" s="120">
        <f>SUM(I76:M76)</f>
        <v>11251.15</v>
      </c>
      <c r="O76" s="119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</row>
    <row r="77" spans="1:27" ht="15" customHeight="1">
      <c r="A77" s="317"/>
      <c r="B77" s="326" t="s">
        <v>700</v>
      </c>
      <c r="C77" s="325" t="s">
        <v>751</v>
      </c>
      <c r="D77" s="166"/>
      <c r="E77" s="167"/>
      <c r="F77" s="167"/>
      <c r="G77" s="167">
        <f>G78/N78</f>
        <v>0.26620109613207521</v>
      </c>
      <c r="H77" s="167">
        <f>H78/N78</f>
        <v>0.23619932636475749</v>
      </c>
      <c r="I77" s="167">
        <f>I78/N78</f>
        <v>0.21569952160099332</v>
      </c>
      <c r="J77" s="167">
        <f>J78/N78</f>
        <v>0.28190005590217398</v>
      </c>
      <c r="K77" s="167"/>
      <c r="L77" s="167"/>
      <c r="M77" s="167"/>
      <c r="N77" s="122">
        <f>N78/$N$96</f>
        <v>1.0381232424134522E-2</v>
      </c>
      <c r="O77" s="121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</row>
    <row r="78" spans="1:27" ht="15" customHeight="1">
      <c r="A78" s="317"/>
      <c r="B78" s="326"/>
      <c r="C78" s="325"/>
      <c r="D78" s="168"/>
      <c r="E78" s="169"/>
      <c r="F78" s="169"/>
      <c r="G78" s="169">
        <v>1895.24</v>
      </c>
      <c r="H78" s="169">
        <v>1681.64</v>
      </c>
      <c r="I78" s="169">
        <v>1535.69</v>
      </c>
      <c r="J78" s="169">
        <v>2007.01</v>
      </c>
      <c r="K78" s="169"/>
      <c r="L78" s="169"/>
      <c r="M78" s="169"/>
      <c r="N78" s="120">
        <f>SUM(F78:M78)</f>
        <v>7119.58</v>
      </c>
      <c r="O78" s="119"/>
      <c r="P78" s="118"/>
      <c r="Q78" s="118"/>
      <c r="R78" s="118"/>
      <c r="S78" s="118"/>
      <c r="T78" s="118"/>
      <c r="U78" s="118"/>
      <c r="V78" s="118"/>
      <c r="W78" s="118"/>
      <c r="X78" s="118"/>
      <c r="Y78" s="118"/>
      <c r="Z78" s="118"/>
      <c r="AA78" s="118"/>
    </row>
    <row r="79" spans="1:27" ht="15" customHeight="1">
      <c r="A79" s="317"/>
      <c r="B79" s="326" t="s">
        <v>699</v>
      </c>
      <c r="C79" s="325" t="s">
        <v>750</v>
      </c>
      <c r="D79" s="166"/>
      <c r="E79" s="167"/>
      <c r="F79" s="167"/>
      <c r="G79" s="167"/>
      <c r="H79" s="167">
        <f>H80/N80</f>
        <v>0.33330333675708051</v>
      </c>
      <c r="I79" s="167">
        <f>I80/N80</f>
        <v>0.66669666324291954</v>
      </c>
      <c r="J79" s="167"/>
      <c r="K79" s="167"/>
      <c r="L79" s="167"/>
      <c r="M79" s="167"/>
      <c r="N79" s="122">
        <f>N80/$N$96</f>
        <v>4.6989367066163547E-3</v>
      </c>
      <c r="O79" s="121"/>
      <c r="P79" s="118"/>
      <c r="Q79" s="118"/>
      <c r="R79" s="118"/>
      <c r="S79" s="118"/>
      <c r="T79" s="118"/>
      <c r="U79" s="118"/>
      <c r="V79" s="118"/>
      <c r="W79" s="118"/>
      <c r="X79" s="118"/>
      <c r="Y79" s="118"/>
      <c r="Z79" s="118"/>
      <c r="AA79" s="118"/>
    </row>
    <row r="80" spans="1:27" ht="15" customHeight="1">
      <c r="A80" s="317"/>
      <c r="B80" s="326"/>
      <c r="C80" s="325"/>
      <c r="D80" s="168"/>
      <c r="E80" s="169"/>
      <c r="F80" s="169"/>
      <c r="G80" s="169"/>
      <c r="H80" s="169">
        <v>1074.0999999999999</v>
      </c>
      <c r="I80" s="169">
        <v>2148.4899999999998</v>
      </c>
      <c r="J80" s="169"/>
      <c r="K80" s="169"/>
      <c r="L80" s="169"/>
      <c r="M80" s="169"/>
      <c r="N80" s="120">
        <f>SUM(F80:M80)</f>
        <v>3222.5899999999997</v>
      </c>
      <c r="O80" s="119"/>
      <c r="P80" s="118"/>
      <c r="Q80" s="118"/>
      <c r="R80" s="118"/>
      <c r="S80" s="118"/>
      <c r="T80" s="118"/>
      <c r="U80" s="118"/>
      <c r="V80" s="118"/>
      <c r="W80" s="118"/>
      <c r="X80" s="118"/>
      <c r="Y80" s="118"/>
      <c r="Z80" s="118"/>
      <c r="AA80" s="118"/>
    </row>
    <row r="81" spans="1:27" ht="15" customHeight="1">
      <c r="A81" s="317"/>
      <c r="B81" s="326" t="s">
        <v>698</v>
      </c>
      <c r="C81" s="325" t="s">
        <v>749</v>
      </c>
      <c r="D81" s="166"/>
      <c r="E81" s="167"/>
      <c r="F81" s="167"/>
      <c r="G81" s="167"/>
      <c r="H81" s="167"/>
      <c r="I81" s="167"/>
      <c r="J81" s="167">
        <f>J82/N82</f>
        <v>1</v>
      </c>
      <c r="K81" s="167"/>
      <c r="L81" s="167"/>
      <c r="M81" s="167"/>
      <c r="N81" s="122">
        <f>N82/$N$96</f>
        <v>1.1834865676133683E-3</v>
      </c>
      <c r="O81" s="121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</row>
    <row r="82" spans="1:27" ht="15" customHeight="1">
      <c r="A82" s="317"/>
      <c r="B82" s="326"/>
      <c r="C82" s="325"/>
      <c r="D82" s="168"/>
      <c r="E82" s="169"/>
      <c r="F82" s="169"/>
      <c r="G82" s="169"/>
      <c r="H82" s="169"/>
      <c r="I82" s="169"/>
      <c r="J82" s="169">
        <v>811.65</v>
      </c>
      <c r="K82" s="169"/>
      <c r="L82" s="169"/>
      <c r="M82" s="169"/>
      <c r="N82" s="120">
        <f>SUM(F82:M82)</f>
        <v>811.65</v>
      </c>
      <c r="O82" s="119"/>
      <c r="P82" s="118"/>
      <c r="Q82" s="118"/>
      <c r="R82" s="118"/>
      <c r="S82" s="118"/>
      <c r="T82" s="118"/>
      <c r="U82" s="118"/>
      <c r="V82" s="118"/>
      <c r="W82" s="118"/>
      <c r="X82" s="118"/>
      <c r="Y82" s="118"/>
      <c r="Z82" s="118"/>
      <c r="AA82" s="118"/>
    </row>
    <row r="83" spans="1:27" ht="15" customHeight="1">
      <c r="A83" s="317"/>
      <c r="B83" s="326" t="s">
        <v>697</v>
      </c>
      <c r="C83" s="325" t="s">
        <v>748</v>
      </c>
      <c r="D83" s="166"/>
      <c r="E83" s="167"/>
      <c r="F83" s="167"/>
      <c r="G83" s="167"/>
      <c r="H83" s="167"/>
      <c r="I83" s="167"/>
      <c r="J83" s="167">
        <f>J84/N84</f>
        <v>1</v>
      </c>
      <c r="K83" s="167"/>
      <c r="L83" s="167"/>
      <c r="M83" s="167"/>
      <c r="N83" s="122">
        <f>N84/$N$96</f>
        <v>6.6478801935105877E-4</v>
      </c>
      <c r="O83" s="121"/>
      <c r="P83" s="118"/>
      <c r="Q83" s="118"/>
      <c r="R83" s="118"/>
      <c r="S83" s="118"/>
      <c r="T83" s="118"/>
      <c r="U83" s="118"/>
      <c r="V83" s="118"/>
      <c r="W83" s="118"/>
      <c r="X83" s="118"/>
      <c r="Y83" s="118"/>
      <c r="Z83" s="118"/>
      <c r="AA83" s="118"/>
    </row>
    <row r="84" spans="1:27" ht="15" customHeight="1" thickBot="1">
      <c r="A84" s="318"/>
      <c r="B84" s="332"/>
      <c r="C84" s="331"/>
      <c r="D84" s="168"/>
      <c r="E84" s="169"/>
      <c r="F84" s="169"/>
      <c r="G84" s="169"/>
      <c r="H84" s="169"/>
      <c r="I84" s="169"/>
      <c r="J84" s="169">
        <v>455.92</v>
      </c>
      <c r="K84" s="169"/>
      <c r="L84" s="169"/>
      <c r="M84" s="169"/>
      <c r="N84" s="120">
        <f>SUM(G84:M84)</f>
        <v>455.92</v>
      </c>
      <c r="O84" s="119"/>
      <c r="P84" s="118"/>
      <c r="Q84" s="118"/>
      <c r="R84" s="118"/>
      <c r="S84" s="118"/>
      <c r="T84" s="118"/>
      <c r="U84" s="118"/>
      <c r="V84" s="118"/>
      <c r="W84" s="118"/>
      <c r="X84" s="118"/>
      <c r="Y84" s="118"/>
      <c r="Z84" s="118"/>
      <c r="AA84" s="118"/>
    </row>
    <row r="85" spans="1:27" ht="15" customHeight="1">
      <c r="A85" s="319" t="s">
        <v>351</v>
      </c>
      <c r="B85" s="333" t="s">
        <v>712</v>
      </c>
      <c r="C85" s="324" t="s">
        <v>777</v>
      </c>
      <c r="D85" s="166"/>
      <c r="E85" s="167">
        <f>E86/N86</f>
        <v>0.4691000711831661</v>
      </c>
      <c r="F85" s="167">
        <f>F86/N86</f>
        <v>0.53089992881683401</v>
      </c>
      <c r="G85" s="167"/>
      <c r="H85" s="167"/>
      <c r="I85" s="167"/>
      <c r="J85" s="167"/>
      <c r="K85" s="167"/>
      <c r="L85" s="167"/>
      <c r="M85" s="167"/>
      <c r="N85" s="122">
        <f>N86/$N$96</f>
        <v>7.2739098115141065E-2</v>
      </c>
      <c r="O85" s="121"/>
      <c r="P85" s="118"/>
      <c r="Q85" s="118"/>
      <c r="R85" s="118"/>
      <c r="S85" s="118"/>
      <c r="T85" s="118"/>
      <c r="U85" s="118"/>
      <c r="V85" s="118"/>
      <c r="W85" s="118"/>
      <c r="X85" s="118"/>
      <c r="Y85" s="118"/>
      <c r="Z85" s="118"/>
      <c r="AA85" s="118"/>
    </row>
    <row r="86" spans="1:27" ht="15" customHeight="1">
      <c r="A86" s="320"/>
      <c r="B86" s="326"/>
      <c r="C86" s="325"/>
      <c r="D86" s="168"/>
      <c r="E86" s="169">
        <v>23401.24</v>
      </c>
      <c r="F86" s="169">
        <v>26484.15</v>
      </c>
      <c r="G86" s="169"/>
      <c r="H86" s="169"/>
      <c r="I86" s="169"/>
      <c r="J86" s="169"/>
      <c r="K86" s="169"/>
      <c r="L86" s="169"/>
      <c r="M86" s="169"/>
      <c r="N86" s="120">
        <f>SUM(D86:M86)</f>
        <v>49885.39</v>
      </c>
      <c r="O86" s="119"/>
      <c r="P86" s="118"/>
      <c r="Q86" s="118"/>
      <c r="R86" s="118"/>
      <c r="S86" s="118"/>
      <c r="T86" s="118"/>
      <c r="U86" s="118"/>
      <c r="V86" s="118"/>
      <c r="W86" s="118"/>
      <c r="X86" s="118"/>
      <c r="Y86" s="118"/>
      <c r="Z86" s="118"/>
      <c r="AA86" s="118"/>
    </row>
    <row r="87" spans="1:27" ht="15" customHeight="1">
      <c r="A87" s="320"/>
      <c r="B87" s="326" t="s">
        <v>711</v>
      </c>
      <c r="C87" s="325" t="s">
        <v>778</v>
      </c>
      <c r="D87" s="166"/>
      <c r="E87" s="167"/>
      <c r="F87" s="167">
        <f>F88/N88</f>
        <v>1</v>
      </c>
      <c r="G87" s="167"/>
      <c r="H87" s="167"/>
      <c r="I87" s="167"/>
      <c r="J87" s="167"/>
      <c r="K87" s="167"/>
      <c r="L87" s="167"/>
      <c r="M87" s="167"/>
      <c r="N87" s="122">
        <f>N88/$N$96</f>
        <v>1.6157095976364385E-2</v>
      </c>
      <c r="O87" s="121"/>
      <c r="P87" s="118"/>
      <c r="Q87" s="118"/>
      <c r="R87" s="118"/>
      <c r="S87" s="118"/>
      <c r="T87" s="118"/>
      <c r="U87" s="118"/>
      <c r="V87" s="118"/>
      <c r="W87" s="118"/>
      <c r="X87" s="118"/>
      <c r="Y87" s="118"/>
      <c r="Z87" s="118"/>
      <c r="AA87" s="118"/>
    </row>
    <row r="88" spans="1:27" ht="15" customHeight="1">
      <c r="A88" s="320"/>
      <c r="B88" s="326"/>
      <c r="C88" s="325"/>
      <c r="D88" s="168"/>
      <c r="E88" s="169"/>
      <c r="F88" s="169">
        <v>11080.74</v>
      </c>
      <c r="G88" s="169"/>
      <c r="H88" s="169"/>
      <c r="I88" s="169"/>
      <c r="J88" s="169"/>
      <c r="K88" s="169"/>
      <c r="L88" s="169"/>
      <c r="M88" s="169"/>
      <c r="N88" s="120">
        <f>SUM(F88:M88)</f>
        <v>11080.74</v>
      </c>
      <c r="O88" s="119"/>
      <c r="P88" s="118"/>
      <c r="Q88" s="118"/>
      <c r="R88" s="118"/>
      <c r="S88" s="118"/>
      <c r="T88" s="118"/>
      <c r="U88" s="118"/>
      <c r="V88" s="118"/>
      <c r="W88" s="118"/>
      <c r="X88" s="118"/>
      <c r="Y88" s="118"/>
      <c r="Z88" s="118"/>
      <c r="AA88" s="118"/>
    </row>
    <row r="89" spans="1:27" ht="15" customHeight="1">
      <c r="A89" s="320"/>
      <c r="B89" s="326" t="s">
        <v>710</v>
      </c>
      <c r="C89" s="325" t="s">
        <v>779</v>
      </c>
      <c r="D89" s="166"/>
      <c r="E89" s="167"/>
      <c r="F89" s="167">
        <f>F90/N90</f>
        <v>1</v>
      </c>
      <c r="G89" s="167"/>
      <c r="H89" s="167"/>
      <c r="I89" s="167"/>
      <c r="J89" s="167"/>
      <c r="K89" s="167"/>
      <c r="L89" s="167"/>
      <c r="M89" s="167"/>
      <c r="N89" s="122">
        <f>N90/$N$96</f>
        <v>1.9633803753386855E-2</v>
      </c>
      <c r="O89" s="121"/>
      <c r="P89" s="118"/>
      <c r="Q89" s="118"/>
      <c r="R89" s="118"/>
      <c r="S89" s="118"/>
      <c r="T89" s="118"/>
      <c r="U89" s="118"/>
      <c r="V89" s="118"/>
      <c r="W89" s="118"/>
      <c r="X89" s="118"/>
      <c r="Y89" s="118"/>
      <c r="Z89" s="118"/>
      <c r="AA89" s="118"/>
    </row>
    <row r="90" spans="1:27" ht="15" customHeight="1">
      <c r="A90" s="320"/>
      <c r="B90" s="326"/>
      <c r="C90" s="325"/>
      <c r="D90" s="168"/>
      <c r="E90" s="169"/>
      <c r="F90" s="169">
        <v>13465.11</v>
      </c>
      <c r="G90" s="169"/>
      <c r="H90" s="169"/>
      <c r="I90" s="169"/>
      <c r="J90" s="169"/>
      <c r="K90" s="169"/>
      <c r="L90" s="169"/>
      <c r="M90" s="169"/>
      <c r="N90" s="120">
        <f>SUM(F90:M90)</f>
        <v>13465.11</v>
      </c>
      <c r="O90" s="119"/>
      <c r="P90" s="118"/>
      <c r="Q90" s="118"/>
      <c r="R90" s="118"/>
      <c r="S90" s="118"/>
      <c r="T90" s="118"/>
      <c r="U90" s="118"/>
      <c r="V90" s="118"/>
      <c r="W90" s="118"/>
      <c r="X90" s="118"/>
      <c r="Y90" s="118"/>
      <c r="Z90" s="118"/>
      <c r="AA90" s="118"/>
    </row>
    <row r="91" spans="1:27" ht="15" customHeight="1">
      <c r="A91" s="320"/>
      <c r="B91" s="326" t="s">
        <v>709</v>
      </c>
      <c r="C91" s="325" t="s">
        <v>746</v>
      </c>
      <c r="D91" s="166"/>
      <c r="E91" s="167"/>
      <c r="F91" s="167">
        <f>F92/N92</f>
        <v>1</v>
      </c>
      <c r="G91" s="167"/>
      <c r="H91" s="167"/>
      <c r="I91" s="167"/>
      <c r="J91" s="167"/>
      <c r="K91" s="167"/>
      <c r="L91" s="167"/>
      <c r="M91" s="167"/>
      <c r="N91" s="122">
        <f>N92/$N$96</f>
        <v>7.5280623307299975E-3</v>
      </c>
      <c r="O91" s="121"/>
      <c r="P91" s="118"/>
      <c r="Q91" s="118"/>
      <c r="R91" s="118"/>
      <c r="S91" s="118"/>
      <c r="T91" s="118"/>
      <c r="U91" s="118"/>
      <c r="V91" s="118"/>
      <c r="W91" s="118"/>
      <c r="X91" s="118"/>
      <c r="Y91" s="118"/>
      <c r="Z91" s="118"/>
      <c r="AA91" s="118"/>
    </row>
    <row r="92" spans="1:27" ht="15" customHeight="1">
      <c r="A92" s="320"/>
      <c r="B92" s="326"/>
      <c r="C92" s="325"/>
      <c r="D92" s="168"/>
      <c r="E92" s="169"/>
      <c r="F92" s="169">
        <v>5162.84</v>
      </c>
      <c r="G92" s="169"/>
      <c r="H92" s="169"/>
      <c r="I92" s="169"/>
      <c r="J92" s="169"/>
      <c r="K92" s="169"/>
      <c r="L92" s="169"/>
      <c r="M92" s="169"/>
      <c r="N92" s="120">
        <f>SUM(F92:M92)</f>
        <v>5162.84</v>
      </c>
      <c r="O92" s="119"/>
      <c r="P92" s="118"/>
      <c r="Q92" s="118"/>
      <c r="R92" s="118"/>
      <c r="S92" s="118"/>
      <c r="T92" s="118"/>
      <c r="U92" s="118"/>
      <c r="V92" s="118"/>
      <c r="W92" s="118"/>
      <c r="X92" s="118"/>
      <c r="Y92" s="118"/>
      <c r="Z92" s="118"/>
      <c r="AA92" s="118"/>
    </row>
    <row r="93" spans="1:27" ht="15" customHeight="1">
      <c r="A93" s="320"/>
      <c r="B93" s="326" t="s">
        <v>708</v>
      </c>
      <c r="C93" s="325" t="s">
        <v>780</v>
      </c>
      <c r="D93" s="166"/>
      <c r="E93" s="167"/>
      <c r="F93" s="167"/>
      <c r="G93" s="167">
        <f>G94/N94</f>
        <v>1</v>
      </c>
      <c r="H93" s="167"/>
      <c r="I93" s="167"/>
      <c r="J93" s="167"/>
      <c r="K93" s="167"/>
      <c r="L93" s="167"/>
      <c r="M93" s="167"/>
      <c r="N93" s="122">
        <f>N94/$N$96</f>
        <v>1.4155426715694634E-2</v>
      </c>
      <c r="O93" s="121"/>
      <c r="P93" s="118"/>
      <c r="Q93" s="118"/>
      <c r="R93" s="118"/>
      <c r="S93" s="118"/>
      <c r="T93" s="118"/>
      <c r="U93" s="118"/>
      <c r="V93" s="118"/>
      <c r="W93" s="118"/>
      <c r="X93" s="118"/>
      <c r="Y93" s="118"/>
      <c r="Z93" s="118"/>
      <c r="AA93" s="118"/>
    </row>
    <row r="94" spans="1:27" ht="15" customHeight="1" thickBot="1">
      <c r="A94" s="321"/>
      <c r="B94" s="332"/>
      <c r="C94" s="331"/>
      <c r="D94" s="168"/>
      <c r="E94" s="169"/>
      <c r="F94" s="169"/>
      <c r="G94" s="169">
        <v>9707.9699999999993</v>
      </c>
      <c r="H94" s="169"/>
      <c r="I94" s="169"/>
      <c r="J94" s="169"/>
      <c r="K94" s="169"/>
      <c r="L94" s="169"/>
      <c r="M94" s="169"/>
      <c r="N94" s="120">
        <f>SUM(F94:M94)</f>
        <v>9707.9699999999993</v>
      </c>
      <c r="O94" s="119"/>
      <c r="P94" s="118"/>
      <c r="Q94" s="118"/>
      <c r="R94" s="118"/>
      <c r="S94" s="118"/>
      <c r="T94" s="118"/>
      <c r="U94" s="118"/>
      <c r="V94" s="118"/>
      <c r="W94" s="118"/>
      <c r="X94" s="118"/>
      <c r="Y94" s="118"/>
      <c r="Z94" s="118"/>
      <c r="AA94" s="118"/>
    </row>
    <row r="95" spans="1:27" ht="15.95" customHeight="1">
      <c r="A95" s="322" t="s">
        <v>696</v>
      </c>
      <c r="B95" s="323"/>
      <c r="C95" s="323"/>
      <c r="D95" s="117">
        <f>D96/N96</f>
        <v>8.1976898645490029E-2</v>
      </c>
      <c r="E95" s="129">
        <f>E96/N96</f>
        <v>6.8480631589445867E-2</v>
      </c>
      <c r="F95" s="131">
        <f>F96/N96</f>
        <v>0.15145169394671371</v>
      </c>
      <c r="G95" s="131">
        <f>G96/N96</f>
        <v>7.531076273605937E-2</v>
      </c>
      <c r="H95" s="131">
        <f>H96/N96</f>
        <v>0.11652810111683572</v>
      </c>
      <c r="I95" s="131">
        <f>I96/N96</f>
        <v>0.14798251009094904</v>
      </c>
      <c r="J95" s="131">
        <f>J96/N96</f>
        <v>6.4971101434998416E-2</v>
      </c>
      <c r="K95" s="131">
        <f>K96/N96</f>
        <v>0.13793419660122894</v>
      </c>
      <c r="L95" s="131">
        <f>L96/N96</f>
        <v>0.12812648819808792</v>
      </c>
      <c r="M95" s="131">
        <f>M96/N96</f>
        <v>2.7237586477705425E-2</v>
      </c>
      <c r="N95" s="116">
        <f>ROUND(SUM(D95:M95),2)</f>
        <v>1</v>
      </c>
      <c r="O95" s="115"/>
      <c r="P95" s="112"/>
    </row>
    <row r="96" spans="1:27" ht="15.95" customHeight="1">
      <c r="A96" s="323" t="s">
        <v>695</v>
      </c>
      <c r="B96" s="323"/>
      <c r="C96" s="323"/>
      <c r="D96" s="114">
        <f>D22+D20</f>
        <v>56220.79</v>
      </c>
      <c r="E96" s="130">
        <f>E20+E22+E24+E26+E54+E86</f>
        <v>46964.880000000005</v>
      </c>
      <c r="F96" s="132">
        <f>F20+F22+F24+F26+F54+F56+F86+F88+F90+F92</f>
        <v>103867.48000000001</v>
      </c>
      <c r="G96" s="132">
        <f>G24+G26+G44+G56+G58+G60+G78+G94</f>
        <v>51649.069999999992</v>
      </c>
      <c r="H96" s="133">
        <f>H24+H26+H28+H32+H44+H46+H58+H60+H66+H72+H74+H78+H80</f>
        <v>79916.440000000017</v>
      </c>
      <c r="I96" s="132">
        <f>I24+I28+I32+I38+I44+I46+I62+I64+I68+I72+I74+I76+I78+I80</f>
        <v>101488.27</v>
      </c>
      <c r="J96" s="132">
        <f>J28+J32+J34+J38+J40+J44+J46+J70+J78+J82+J84</f>
        <v>44558</v>
      </c>
      <c r="K96" s="132">
        <f>K32+K34+K36+K38+K40+K42+K44+K46</f>
        <v>94597.01</v>
      </c>
      <c r="L96" s="132">
        <f>L30+L36+L38+L40+L42+L44+L46</f>
        <v>87870.760000000009</v>
      </c>
      <c r="M96" s="132">
        <f>M42+M48+M50+M52</f>
        <v>18679.88</v>
      </c>
      <c r="N96" s="113">
        <f>SUM(D96:M96)+0.02</f>
        <v>685812.60000000009</v>
      </c>
      <c r="O96" s="112"/>
    </row>
    <row r="97" spans="1:14" ht="5.0999999999999996" customHeight="1">
      <c r="A97" s="327"/>
      <c r="B97" s="327"/>
      <c r="C97" s="327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62"/>
    </row>
    <row r="98" spans="1:14" ht="36" customHeight="1">
      <c r="A98" s="110"/>
      <c r="B98" s="109"/>
      <c r="C98" s="109"/>
      <c r="D98" s="109"/>
      <c r="E98" s="109"/>
      <c r="F98" s="109"/>
      <c r="G98" s="109"/>
      <c r="H98" s="109"/>
      <c r="I98" s="109"/>
      <c r="J98" s="109"/>
      <c r="K98" s="109"/>
      <c r="L98" s="109"/>
      <c r="M98" s="109"/>
      <c r="N98" s="108"/>
    </row>
    <row r="99" spans="1:14" ht="15" customHeight="1">
      <c r="A99" s="107"/>
      <c r="B99" s="106"/>
      <c r="C99" s="106"/>
      <c r="D99" s="106"/>
      <c r="E99" s="106"/>
      <c r="F99" s="106"/>
      <c r="G99" s="106"/>
      <c r="H99" s="106"/>
      <c r="I99" s="106"/>
      <c r="J99" s="328" t="s">
        <v>694</v>
      </c>
      <c r="K99" s="328"/>
      <c r="L99" s="328"/>
      <c r="M99" s="328"/>
      <c r="N99" s="105"/>
    </row>
    <row r="100" spans="1:14" ht="15" customHeight="1">
      <c r="A100" s="107"/>
      <c r="B100" s="106"/>
      <c r="C100" s="106"/>
      <c r="D100" s="106"/>
      <c r="E100" s="106"/>
      <c r="F100" s="106"/>
      <c r="G100" s="106"/>
      <c r="H100" s="106"/>
      <c r="I100" s="106"/>
      <c r="J100" s="329" t="s">
        <v>20</v>
      </c>
      <c r="K100" s="329"/>
      <c r="L100" s="329"/>
      <c r="M100" s="329"/>
      <c r="N100" s="105"/>
    </row>
    <row r="101" spans="1:14" ht="15" customHeight="1">
      <c r="A101" s="104"/>
      <c r="B101" s="103"/>
      <c r="C101" s="103"/>
      <c r="D101" s="103"/>
      <c r="E101" s="103"/>
      <c r="F101" s="103"/>
      <c r="G101" s="103"/>
      <c r="H101" s="103"/>
      <c r="I101" s="103"/>
      <c r="J101" s="330" t="s">
        <v>783</v>
      </c>
      <c r="K101" s="330"/>
      <c r="L101" s="330"/>
      <c r="M101" s="330"/>
      <c r="N101" s="102"/>
    </row>
  </sheetData>
  <mergeCells count="96">
    <mergeCell ref="A13:N13"/>
    <mergeCell ref="B23:B24"/>
    <mergeCell ref="C23:C24"/>
    <mergeCell ref="B25:B26"/>
    <mergeCell ref="C25:C26"/>
    <mergeCell ref="A1:N7"/>
    <mergeCell ref="A8:N8"/>
    <mergeCell ref="A10:N10"/>
    <mergeCell ref="A11:N11"/>
    <mergeCell ref="A12:N12"/>
    <mergeCell ref="B39:B40"/>
    <mergeCell ref="C39:C40"/>
    <mergeCell ref="B29:B30"/>
    <mergeCell ref="C29:C30"/>
    <mergeCell ref="B31:B32"/>
    <mergeCell ref="C31:C32"/>
    <mergeCell ref="B33:B34"/>
    <mergeCell ref="C33:C34"/>
    <mergeCell ref="B27:B28"/>
    <mergeCell ref="C27:C28"/>
    <mergeCell ref="A14:N14"/>
    <mergeCell ref="A15:N15"/>
    <mergeCell ref="A16:N16"/>
    <mergeCell ref="N17:N18"/>
    <mergeCell ref="A18:C18"/>
    <mergeCell ref="B19:B20"/>
    <mergeCell ref="C19:C20"/>
    <mergeCell ref="B21:B22"/>
    <mergeCell ref="C21:C22"/>
    <mergeCell ref="A19:A52"/>
    <mergeCell ref="B35:B36"/>
    <mergeCell ref="C35:C36"/>
    <mergeCell ref="B37:B38"/>
    <mergeCell ref="C37:C38"/>
    <mergeCell ref="B61:B62"/>
    <mergeCell ref="C61:C62"/>
    <mergeCell ref="B63:B64"/>
    <mergeCell ref="C63:C64"/>
    <mergeCell ref="C51:C52"/>
    <mergeCell ref="B53:B54"/>
    <mergeCell ref="C53:C54"/>
    <mergeCell ref="B55:B56"/>
    <mergeCell ref="C55:C56"/>
    <mergeCell ref="B57:B58"/>
    <mergeCell ref="C57:C58"/>
    <mergeCell ref="B47:B48"/>
    <mergeCell ref="C47:C48"/>
    <mergeCell ref="B51:B52"/>
    <mergeCell ref="B59:B60"/>
    <mergeCell ref="C59:C60"/>
    <mergeCell ref="C49:C50"/>
    <mergeCell ref="B49:B50"/>
    <mergeCell ref="B41:B42"/>
    <mergeCell ref="C41:C42"/>
    <mergeCell ref="B43:B44"/>
    <mergeCell ref="C43:C44"/>
    <mergeCell ref="B45:B46"/>
    <mergeCell ref="C45:C46"/>
    <mergeCell ref="B65:B66"/>
    <mergeCell ref="C65:C66"/>
    <mergeCell ref="B67:B68"/>
    <mergeCell ref="C67:C68"/>
    <mergeCell ref="B69:B70"/>
    <mergeCell ref="C69:C70"/>
    <mergeCell ref="C81:C82"/>
    <mergeCell ref="B83:B84"/>
    <mergeCell ref="C83:C84"/>
    <mergeCell ref="B85:B86"/>
    <mergeCell ref="C71:C72"/>
    <mergeCell ref="B73:B74"/>
    <mergeCell ref="C73:C74"/>
    <mergeCell ref="B75:B76"/>
    <mergeCell ref="C75:C76"/>
    <mergeCell ref="B71:B72"/>
    <mergeCell ref="A97:C97"/>
    <mergeCell ref="J99:M99"/>
    <mergeCell ref="J100:M100"/>
    <mergeCell ref="J101:M101"/>
    <mergeCell ref="C93:C94"/>
    <mergeCell ref="B93:B94"/>
    <mergeCell ref="A53:A84"/>
    <mergeCell ref="A85:A94"/>
    <mergeCell ref="A95:C95"/>
    <mergeCell ref="A96:C96"/>
    <mergeCell ref="C85:C86"/>
    <mergeCell ref="B87:B88"/>
    <mergeCell ref="C87:C88"/>
    <mergeCell ref="B89:B90"/>
    <mergeCell ref="C89:C90"/>
    <mergeCell ref="B91:B92"/>
    <mergeCell ref="C91:C92"/>
    <mergeCell ref="B77:B78"/>
    <mergeCell ref="C77:C78"/>
    <mergeCell ref="B79:B80"/>
    <mergeCell ref="C79:C80"/>
    <mergeCell ref="B81:B82"/>
  </mergeCells>
  <pageMargins left="0.9055118110236221" right="0.70866141732283472" top="0.74803149606299213" bottom="0.74803149606299213" header="0.31496062992125984" footer="0.31496062992125984"/>
  <pageSetup paperSize="9" scale="59" firstPageNumber="0" fitToHeight="0" orientation="landscape" horizontalDpi="300" verticalDpi="300" r:id="rId1"/>
  <headerFooter>
    <oddFooter>&amp;C&amp;11Prefeitura Municipal da Estância Turística de Paraguaçu Paulista - Av. Siqueira Campos 1430 CEP 19.703-061 - Fone: (18)3361-9100 - Fax: (18) 3361-1331 – Estância Turística de Paraguaçu Paulista - SP&amp;R&amp;P</oddFooter>
  </headerFooter>
  <rowBreaks count="2" manualBreakCount="2">
    <brk id="52" max="13" man="1"/>
    <brk id="84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0"/>
  <sheetViews>
    <sheetView showGridLines="0" view="pageBreakPreview" topLeftCell="A13" zoomScale="120" zoomScaleNormal="70" zoomScaleSheetLayoutView="120" workbookViewId="0">
      <selection activeCell="B21" sqref="B21:C22"/>
    </sheetView>
  </sheetViews>
  <sheetFormatPr defaultColWidth="9.140625" defaultRowHeight="15"/>
  <cols>
    <col min="1" max="1" width="6.140625" style="185" customWidth="1"/>
    <col min="2" max="2" width="11.42578125" style="185" customWidth="1"/>
    <col min="3" max="3" width="27.28515625" style="185" customWidth="1"/>
    <col min="4" max="4" width="3.7109375" style="185" customWidth="1"/>
    <col min="5" max="5" width="11.7109375" style="185" customWidth="1"/>
    <col min="6" max="6" width="8.7109375" style="185" customWidth="1"/>
    <col min="7" max="7" width="15.7109375" style="185" customWidth="1"/>
    <col min="8" max="8" width="3.7109375" style="185" customWidth="1"/>
    <col min="9" max="9" width="5.7109375" style="185" customWidth="1"/>
    <col min="10" max="10" width="6.7109375" style="185" customWidth="1"/>
    <col min="11" max="11" width="8.7109375" style="185" customWidth="1"/>
    <col min="12" max="12" width="15.7109375" style="185" customWidth="1"/>
    <col min="13" max="13" width="3.7109375" style="185" customWidth="1"/>
    <col min="14" max="14" width="22.28515625" style="185" customWidth="1"/>
    <col min="15" max="15" width="33.5703125" style="185" customWidth="1"/>
    <col min="16" max="16" width="31.28515625" style="227" customWidth="1"/>
    <col min="17" max="20" width="8.85546875" style="227" customWidth="1"/>
    <col min="21" max="23" width="8.85546875" style="228" customWidth="1"/>
    <col min="24" max="16384" width="9.140625" style="185"/>
  </cols>
  <sheetData>
    <row r="1" spans="1:23" ht="20.100000000000001" customHeight="1">
      <c r="A1" s="355"/>
      <c r="B1" s="355"/>
      <c r="C1" s="356" t="s">
        <v>858</v>
      </c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  <c r="O1" s="182"/>
      <c r="P1" s="183"/>
      <c r="Q1" s="183"/>
      <c r="R1" s="183"/>
      <c r="S1" s="183"/>
      <c r="T1" s="183"/>
      <c r="U1" s="184"/>
      <c r="V1" s="184"/>
      <c r="W1" s="184"/>
    </row>
    <row r="2" spans="1:23" s="189" customFormat="1" ht="30" customHeight="1">
      <c r="A2" s="355"/>
      <c r="B2" s="355"/>
      <c r="C2" s="356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186"/>
      <c r="P2" s="187"/>
      <c r="Q2" s="187"/>
      <c r="R2" s="187"/>
      <c r="S2" s="187"/>
      <c r="T2" s="187"/>
      <c r="U2" s="188"/>
      <c r="V2" s="188"/>
      <c r="W2" s="188"/>
    </row>
    <row r="3" spans="1:23" ht="20.100000000000001" customHeight="1">
      <c r="A3" s="355"/>
      <c r="B3" s="355"/>
      <c r="C3" s="182"/>
      <c r="D3" s="182"/>
      <c r="E3" s="182"/>
      <c r="F3" s="182"/>
      <c r="G3" s="190"/>
      <c r="H3" s="190"/>
      <c r="I3" s="190"/>
      <c r="J3" s="182"/>
      <c r="K3" s="182"/>
      <c r="L3" s="182"/>
      <c r="M3" s="182"/>
      <c r="N3" s="191"/>
      <c r="O3" s="182"/>
      <c r="P3" s="183"/>
      <c r="Q3" s="183"/>
      <c r="R3" s="183"/>
      <c r="S3" s="183"/>
      <c r="T3" s="183"/>
      <c r="U3" s="184"/>
      <c r="V3" s="184"/>
      <c r="W3" s="184"/>
    </row>
    <row r="4" spans="1:23" ht="20.100000000000001" customHeight="1">
      <c r="A4" s="355"/>
      <c r="B4" s="355"/>
      <c r="C4" s="182"/>
      <c r="D4" s="182"/>
      <c r="E4" s="182"/>
      <c r="F4" s="182"/>
      <c r="G4" s="190"/>
      <c r="H4" s="190"/>
      <c r="I4" s="190"/>
      <c r="J4" s="182"/>
      <c r="K4" s="182"/>
      <c r="L4" s="182"/>
      <c r="M4" s="182"/>
      <c r="N4" s="192"/>
      <c r="O4" s="182"/>
      <c r="P4" s="193"/>
      <c r="Q4" s="183"/>
      <c r="R4" s="183"/>
      <c r="S4" s="183"/>
      <c r="T4" s="183"/>
      <c r="U4" s="184"/>
      <c r="V4" s="184"/>
      <c r="W4" s="184"/>
    </row>
    <row r="5" spans="1:23" ht="9.9499999999999993" customHeight="1">
      <c r="A5" s="182"/>
      <c r="B5" s="182"/>
      <c r="C5" s="182"/>
      <c r="D5" s="182"/>
      <c r="E5" s="182"/>
      <c r="F5" s="182"/>
      <c r="G5" s="182"/>
      <c r="H5" s="182"/>
      <c r="I5" s="182"/>
      <c r="J5" s="182"/>
      <c r="K5" s="358"/>
      <c r="L5" s="358"/>
      <c r="M5" s="358"/>
      <c r="N5" s="358"/>
      <c r="O5" s="182"/>
      <c r="P5" s="193"/>
      <c r="Q5" s="183"/>
      <c r="R5" s="183"/>
      <c r="S5" s="183"/>
      <c r="T5" s="183"/>
      <c r="U5" s="184"/>
      <c r="V5" s="184"/>
      <c r="W5" s="184"/>
    </row>
    <row r="6" spans="1:23" ht="24.95" customHeight="1">
      <c r="A6" s="359" t="s">
        <v>859</v>
      </c>
      <c r="B6" s="359"/>
      <c r="C6" s="360" t="s">
        <v>860</v>
      </c>
      <c r="D6" s="360"/>
      <c r="E6" s="360"/>
      <c r="F6" s="360"/>
      <c r="G6" s="360"/>
      <c r="H6" s="194"/>
      <c r="I6" s="191"/>
      <c r="J6" s="361" t="s">
        <v>861</v>
      </c>
      <c r="K6" s="361"/>
      <c r="L6" s="361"/>
      <c r="M6" s="195"/>
      <c r="N6" s="196" t="s">
        <v>862</v>
      </c>
      <c r="O6" s="197"/>
      <c r="P6" s="198"/>
      <c r="Q6" s="183"/>
      <c r="R6" s="183"/>
      <c r="S6" s="183"/>
      <c r="T6" s="183"/>
      <c r="U6" s="184"/>
      <c r="V6" s="184"/>
      <c r="W6" s="184"/>
    </row>
    <row r="7" spans="1:23" ht="30" customHeight="1">
      <c r="A7" s="359" t="s">
        <v>863</v>
      </c>
      <c r="B7" s="359"/>
      <c r="C7" s="362" t="s">
        <v>864</v>
      </c>
      <c r="D7" s="362"/>
      <c r="E7" s="362"/>
      <c r="F7" s="362"/>
      <c r="G7" s="362"/>
      <c r="H7" s="199"/>
      <c r="I7" s="191"/>
      <c r="J7" s="363" t="s">
        <v>865</v>
      </c>
      <c r="K7" s="363"/>
      <c r="L7" s="363"/>
      <c r="M7" s="200"/>
      <c r="N7" s="201">
        <v>44378</v>
      </c>
      <c r="O7" s="202"/>
      <c r="P7" s="203"/>
      <c r="Q7" s="183"/>
      <c r="R7" s="183"/>
      <c r="S7" s="183"/>
      <c r="T7" s="183"/>
      <c r="U7" s="184"/>
      <c r="V7" s="184"/>
      <c r="W7" s="184"/>
    </row>
    <row r="8" spans="1:23" ht="24.95" customHeight="1">
      <c r="A8" s="359" t="s">
        <v>866</v>
      </c>
      <c r="B8" s="359"/>
      <c r="C8" s="364" t="s">
        <v>867</v>
      </c>
      <c r="D8" s="364"/>
      <c r="E8" s="364"/>
      <c r="F8" s="364"/>
      <c r="G8" s="364"/>
      <c r="H8" s="199"/>
      <c r="I8" s="365" t="s">
        <v>786</v>
      </c>
      <c r="J8" s="366" t="s">
        <v>868</v>
      </c>
      <c r="K8" s="367"/>
      <c r="L8" s="368" t="s">
        <v>869</v>
      </c>
      <c r="M8" s="369"/>
      <c r="N8" s="370"/>
      <c r="O8" s="191"/>
      <c r="P8" s="198"/>
      <c r="Q8" s="183"/>
      <c r="R8" s="183"/>
      <c r="S8" s="183"/>
      <c r="T8" s="183"/>
      <c r="U8" s="184"/>
      <c r="V8" s="184"/>
      <c r="W8" s="184"/>
    </row>
    <row r="9" spans="1:23" ht="24.95" customHeight="1">
      <c r="A9" s="359" t="s">
        <v>870</v>
      </c>
      <c r="B9" s="359"/>
      <c r="C9" s="364"/>
      <c r="D9" s="364"/>
      <c r="E9" s="364"/>
      <c r="F9" s="364"/>
      <c r="G9" s="364"/>
      <c r="H9" s="199"/>
      <c r="I9" s="365"/>
      <c r="J9" s="366" t="s">
        <v>871</v>
      </c>
      <c r="K9" s="367"/>
      <c r="L9" s="371" t="str">
        <f>IFERROR((CONCATENATE(F13+K13," dias a partir da data de assinatura do convênio")),"Cálculo automático")</f>
        <v>720 dias a partir da data de assinatura do convênio</v>
      </c>
      <c r="M9" s="371"/>
      <c r="N9" s="372"/>
      <c r="O9" s="191"/>
      <c r="P9" s="198"/>
      <c r="Q9" s="183"/>
      <c r="R9" s="183"/>
      <c r="S9" s="183"/>
      <c r="T9" s="183"/>
      <c r="U9" s="184"/>
      <c r="V9" s="184"/>
      <c r="W9" s="184"/>
    </row>
    <row r="10" spans="1:23">
      <c r="A10" s="182"/>
      <c r="B10" s="204"/>
      <c r="C10" s="204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93"/>
      <c r="Q10" s="183"/>
      <c r="R10" s="183"/>
      <c r="S10" s="183"/>
      <c r="T10" s="183"/>
      <c r="U10" s="184"/>
      <c r="V10" s="184"/>
      <c r="W10" s="184"/>
    </row>
    <row r="11" spans="1:23">
      <c r="A11" s="373" t="s">
        <v>730</v>
      </c>
      <c r="B11" s="375" t="s">
        <v>713</v>
      </c>
      <c r="C11" s="376"/>
      <c r="D11" s="373" t="s">
        <v>731</v>
      </c>
      <c r="E11" s="379" t="s">
        <v>872</v>
      </c>
      <c r="F11" s="379"/>
      <c r="G11" s="379"/>
      <c r="H11" s="379"/>
      <c r="I11" s="380" t="s">
        <v>873</v>
      </c>
      <c r="J11" s="380"/>
      <c r="K11" s="380"/>
      <c r="L11" s="380"/>
      <c r="M11" s="381"/>
      <c r="N11" s="382" t="s">
        <v>714</v>
      </c>
      <c r="O11" s="182"/>
      <c r="P11" s="205"/>
      <c r="Q11" s="183"/>
      <c r="R11" s="183"/>
      <c r="S11" s="183"/>
      <c r="T11" s="183"/>
      <c r="U11" s="184"/>
      <c r="V11" s="184"/>
      <c r="W11" s="184"/>
    </row>
    <row r="12" spans="1:23" ht="5.45" customHeight="1">
      <c r="A12" s="374"/>
      <c r="B12" s="377"/>
      <c r="C12" s="378"/>
      <c r="D12" s="374"/>
      <c r="E12" s="206"/>
      <c r="F12" s="207"/>
      <c r="G12" s="207"/>
      <c r="H12" s="207"/>
      <c r="I12" s="384"/>
      <c r="J12" s="384"/>
      <c r="K12" s="384"/>
      <c r="L12" s="384"/>
      <c r="M12" s="385"/>
      <c r="N12" s="383"/>
      <c r="O12" s="182"/>
      <c r="P12" s="183"/>
      <c r="Q12" s="183"/>
      <c r="R12" s="183"/>
      <c r="S12" s="183"/>
      <c r="T12" s="183"/>
      <c r="U12" s="184"/>
      <c r="V12" s="184"/>
      <c r="W12" s="184"/>
    </row>
    <row r="13" spans="1:23" ht="15" customHeight="1">
      <c r="A13" s="374"/>
      <c r="B13" s="377"/>
      <c r="C13" s="378"/>
      <c r="D13" s="374"/>
      <c r="E13" s="208" t="s">
        <v>874</v>
      </c>
      <c r="F13" s="209">
        <f>IF(G15="XXX","",SUM(G14:G16))</f>
        <v>360</v>
      </c>
      <c r="G13" s="210" t="s">
        <v>875</v>
      </c>
      <c r="H13" s="211"/>
      <c r="I13" s="386" t="s">
        <v>874</v>
      </c>
      <c r="J13" s="387"/>
      <c r="K13" s="209">
        <f>IF(L14="XXX","",SUM(L14:L16))</f>
        <v>360</v>
      </c>
      <c r="L13" s="388" t="s">
        <v>875</v>
      </c>
      <c r="M13" s="389"/>
      <c r="N13" s="383"/>
      <c r="O13" s="182"/>
      <c r="P13" s="183"/>
      <c r="Q13" s="183"/>
      <c r="R13" s="183"/>
      <c r="S13" s="183"/>
      <c r="T13" s="183"/>
      <c r="U13" s="184"/>
      <c r="V13" s="184"/>
      <c r="W13" s="184"/>
    </row>
    <row r="14" spans="1:23" ht="20.100000000000001" customHeight="1">
      <c r="A14" s="374"/>
      <c r="B14" s="377"/>
      <c r="C14" s="378"/>
      <c r="D14" s="374"/>
      <c r="E14" s="390" t="s">
        <v>876</v>
      </c>
      <c r="F14" s="391"/>
      <c r="G14" s="212">
        <v>180</v>
      </c>
      <c r="H14" s="213"/>
      <c r="I14" s="390" t="s">
        <v>877</v>
      </c>
      <c r="J14" s="391"/>
      <c r="K14" s="214"/>
      <c r="L14" s="215">
        <v>150</v>
      </c>
      <c r="M14" s="216"/>
      <c r="N14" s="383"/>
      <c r="O14" s="182"/>
      <c r="P14" s="217"/>
      <c r="Q14" s="183"/>
      <c r="R14" s="183"/>
      <c r="S14" s="183"/>
      <c r="T14" s="183"/>
      <c r="U14" s="184"/>
      <c r="V14" s="184"/>
      <c r="W14" s="184"/>
    </row>
    <row r="15" spans="1:23" ht="20.100000000000001" customHeight="1">
      <c r="A15" s="374"/>
      <c r="B15" s="377"/>
      <c r="C15" s="378"/>
      <c r="D15" s="374"/>
      <c r="E15" s="390" t="s">
        <v>877</v>
      </c>
      <c r="F15" s="391"/>
      <c r="G15" s="215">
        <v>150</v>
      </c>
      <c r="H15" s="218"/>
      <c r="I15" s="390" t="s">
        <v>878</v>
      </c>
      <c r="J15" s="391"/>
      <c r="K15" s="391"/>
      <c r="L15" s="212">
        <v>30</v>
      </c>
      <c r="M15" s="219"/>
      <c r="N15" s="383"/>
      <c r="O15" s="182"/>
      <c r="P15" s="217"/>
      <c r="Q15" s="183"/>
      <c r="R15" s="183"/>
      <c r="S15" s="183"/>
      <c r="T15" s="183"/>
      <c r="U15" s="184"/>
      <c r="V15" s="184"/>
      <c r="W15" s="184"/>
    </row>
    <row r="16" spans="1:23" ht="20.100000000000001" customHeight="1">
      <c r="A16" s="374"/>
      <c r="B16" s="377"/>
      <c r="C16" s="378"/>
      <c r="D16" s="374"/>
      <c r="E16" s="405" t="s">
        <v>878</v>
      </c>
      <c r="F16" s="406"/>
      <c r="G16" s="220">
        <v>30</v>
      </c>
      <c r="H16" s="221"/>
      <c r="I16" s="405" t="s">
        <v>879</v>
      </c>
      <c r="J16" s="406"/>
      <c r="K16" s="406"/>
      <c r="L16" s="220">
        <v>180</v>
      </c>
      <c r="M16" s="221"/>
      <c r="N16" s="383"/>
      <c r="O16" s="182"/>
      <c r="P16" s="217"/>
      <c r="Q16" s="183"/>
      <c r="R16" s="183"/>
      <c r="S16" s="183"/>
      <c r="T16" s="183"/>
      <c r="U16" s="184"/>
      <c r="V16" s="184"/>
      <c r="W16" s="184"/>
    </row>
    <row r="17" spans="1:23" ht="24.95" customHeight="1">
      <c r="A17" s="392" t="s">
        <v>27</v>
      </c>
      <c r="B17" s="394" t="s">
        <v>890</v>
      </c>
      <c r="C17" s="395"/>
      <c r="D17" s="222" t="s">
        <v>732</v>
      </c>
      <c r="E17" s="223"/>
      <c r="F17" s="398">
        <f>IFERROR($E18/N18,0)</f>
        <v>0.5</v>
      </c>
      <c r="G17" s="398"/>
      <c r="H17" s="399"/>
      <c r="I17" s="224"/>
      <c r="J17" s="225"/>
      <c r="K17" s="400">
        <f>IFERROR($I18/N18,0)</f>
        <v>0.5</v>
      </c>
      <c r="L17" s="400"/>
      <c r="M17" s="401"/>
      <c r="N17" s="226">
        <f>K17+F17</f>
        <v>1</v>
      </c>
    </row>
    <row r="18" spans="1:23" ht="24.95" customHeight="1">
      <c r="A18" s="393"/>
      <c r="B18" s="396"/>
      <c r="C18" s="397"/>
      <c r="D18" s="229" t="s">
        <v>733</v>
      </c>
      <c r="E18" s="402">
        <v>232485.46</v>
      </c>
      <c r="F18" s="403"/>
      <c r="G18" s="403"/>
      <c r="H18" s="403"/>
      <c r="I18" s="402">
        <v>232485.46</v>
      </c>
      <c r="J18" s="403"/>
      <c r="K18" s="403"/>
      <c r="L18" s="403"/>
      <c r="M18" s="404"/>
      <c r="N18" s="230">
        <f>IFERROR(E18+I18,0)</f>
        <v>464970.92</v>
      </c>
    </row>
    <row r="19" spans="1:23" ht="24.95" customHeight="1">
      <c r="A19" s="392" t="s">
        <v>40</v>
      </c>
      <c r="B19" s="394" t="s">
        <v>888</v>
      </c>
      <c r="C19" s="395"/>
      <c r="D19" s="222" t="s">
        <v>732</v>
      </c>
      <c r="E19" s="223"/>
      <c r="F19" s="398">
        <f>IFERROR($E20/N20,0)</f>
        <v>0.5</v>
      </c>
      <c r="G19" s="398"/>
      <c r="H19" s="399"/>
      <c r="I19" s="224"/>
      <c r="J19" s="225"/>
      <c r="K19" s="400">
        <f>IFERROR($I20/N20,0)</f>
        <v>0.5</v>
      </c>
      <c r="L19" s="400"/>
      <c r="M19" s="401"/>
      <c r="N19" s="226">
        <f>K19+F19</f>
        <v>1</v>
      </c>
    </row>
    <row r="20" spans="1:23" ht="24.95" customHeight="1">
      <c r="A20" s="393"/>
      <c r="B20" s="396"/>
      <c r="C20" s="397"/>
      <c r="D20" s="229" t="s">
        <v>733</v>
      </c>
      <c r="E20" s="402">
        <v>65769.81</v>
      </c>
      <c r="F20" s="403"/>
      <c r="G20" s="403"/>
      <c r="H20" s="403"/>
      <c r="I20" s="402">
        <v>65769.81</v>
      </c>
      <c r="J20" s="403"/>
      <c r="K20" s="403"/>
      <c r="L20" s="403"/>
      <c r="M20" s="404"/>
      <c r="N20" s="230">
        <f>IFERROR(E20+I20,0)</f>
        <v>131539.62</v>
      </c>
    </row>
    <row r="21" spans="1:23" ht="24.95" customHeight="1">
      <c r="A21" s="392" t="s">
        <v>351</v>
      </c>
      <c r="B21" s="394" t="s">
        <v>889</v>
      </c>
      <c r="C21" s="395"/>
      <c r="D21" s="222" t="s">
        <v>732</v>
      </c>
      <c r="E21" s="223"/>
      <c r="F21" s="398">
        <f>IFERROR($E22/N22,0)</f>
        <v>0.5</v>
      </c>
      <c r="G21" s="398"/>
      <c r="H21" s="399"/>
      <c r="I21" s="224"/>
      <c r="J21" s="225"/>
      <c r="K21" s="400">
        <f>IFERROR($I22/N22,0)</f>
        <v>0.5</v>
      </c>
      <c r="L21" s="400"/>
      <c r="M21" s="401"/>
      <c r="N21" s="226">
        <f>K21+F21</f>
        <v>1</v>
      </c>
    </row>
    <row r="22" spans="1:23" ht="24.95" customHeight="1">
      <c r="A22" s="393"/>
      <c r="B22" s="396"/>
      <c r="C22" s="397"/>
      <c r="D22" s="229" t="s">
        <v>733</v>
      </c>
      <c r="E22" s="402">
        <v>44651.03</v>
      </c>
      <c r="F22" s="403"/>
      <c r="G22" s="403"/>
      <c r="H22" s="403"/>
      <c r="I22" s="402">
        <v>44651.03</v>
      </c>
      <c r="J22" s="403"/>
      <c r="K22" s="403"/>
      <c r="L22" s="403"/>
      <c r="M22" s="404"/>
      <c r="N22" s="230">
        <f>IFERROR(E22+I22,0)</f>
        <v>89302.06</v>
      </c>
    </row>
    <row r="23" spans="1:23">
      <c r="A23" s="407"/>
      <c r="B23" s="408"/>
      <c r="C23" s="408"/>
      <c r="D23" s="409"/>
      <c r="E23" s="407"/>
      <c r="F23" s="408"/>
      <c r="G23" s="408"/>
      <c r="H23" s="408"/>
      <c r="I23" s="408"/>
      <c r="J23" s="408"/>
      <c r="K23" s="408"/>
      <c r="L23" s="408"/>
      <c r="M23" s="409"/>
      <c r="N23" s="231"/>
      <c r="O23" s="182"/>
      <c r="Q23" s="232"/>
      <c r="R23" s="232"/>
      <c r="S23" s="232"/>
      <c r="T23" s="232"/>
      <c r="U23" s="233"/>
      <c r="V23" s="184"/>
      <c r="W23" s="184"/>
    </row>
    <row r="24" spans="1:23" ht="30" customHeight="1">
      <c r="A24" s="359" t="s">
        <v>880</v>
      </c>
      <c r="B24" s="359"/>
      <c r="C24" s="359"/>
      <c r="D24" s="359"/>
      <c r="E24" s="410">
        <f>IFERROR(E26-E25,"")</f>
        <v>342906.30000000005</v>
      </c>
      <c r="F24" s="411"/>
      <c r="G24" s="411"/>
      <c r="H24" s="411"/>
      <c r="I24" s="410">
        <f>IFERROR(I26-I25,"")</f>
        <v>342906.30000000005</v>
      </c>
      <c r="J24" s="411"/>
      <c r="K24" s="411"/>
      <c r="L24" s="411"/>
      <c r="M24" s="412"/>
      <c r="N24" s="234">
        <f>IFERROR(E24+I24,"")</f>
        <v>685812.60000000009</v>
      </c>
      <c r="O24" s="182"/>
      <c r="Q24" s="232"/>
      <c r="R24" s="232"/>
      <c r="S24" s="232"/>
      <c r="T24" s="232"/>
      <c r="U24" s="233"/>
      <c r="V24" s="184"/>
      <c r="W24" s="184"/>
    </row>
    <row r="25" spans="1:23" ht="30" customHeight="1">
      <c r="A25" s="359" t="s">
        <v>881</v>
      </c>
      <c r="B25" s="359"/>
      <c r="C25" s="359"/>
      <c r="D25" s="359"/>
      <c r="E25" s="402">
        <v>0</v>
      </c>
      <c r="F25" s="403"/>
      <c r="G25" s="403"/>
      <c r="H25" s="403"/>
      <c r="I25" s="413">
        <v>0</v>
      </c>
      <c r="J25" s="414"/>
      <c r="K25" s="414"/>
      <c r="L25" s="414"/>
      <c r="M25" s="415"/>
      <c r="N25" s="234">
        <f>IFERROR(E25+I25,"")</f>
        <v>0</v>
      </c>
      <c r="O25" s="182"/>
      <c r="Q25" s="183"/>
      <c r="R25" s="232"/>
      <c r="S25" s="232"/>
      <c r="T25" s="232"/>
      <c r="U25" s="233"/>
      <c r="V25" s="184"/>
      <c r="W25" s="184"/>
    </row>
    <row r="26" spans="1:23" ht="35.1" customHeight="1">
      <c r="A26" s="359" t="s">
        <v>882</v>
      </c>
      <c r="B26" s="359"/>
      <c r="C26" s="359"/>
      <c r="D26" s="359"/>
      <c r="E26" s="410">
        <f>SUMIF(E17:E22,"&gt;0")</f>
        <v>342906.30000000005</v>
      </c>
      <c r="F26" s="411"/>
      <c r="G26" s="411"/>
      <c r="H26" s="411"/>
      <c r="I26" s="410">
        <f>SUMIF(I17:I22,"&gt;0")</f>
        <v>342906.30000000005</v>
      </c>
      <c r="J26" s="411"/>
      <c r="K26" s="411"/>
      <c r="L26" s="411"/>
      <c r="M26" s="412"/>
      <c r="N26" s="235">
        <f>IFERROR(E26+I26,"")</f>
        <v>685812.60000000009</v>
      </c>
      <c r="O26" s="182"/>
      <c r="Q26" s="236"/>
      <c r="R26" s="183"/>
      <c r="S26" s="183"/>
      <c r="T26" s="183"/>
      <c r="U26" s="184"/>
      <c r="V26" s="184"/>
      <c r="W26" s="184"/>
    </row>
    <row r="27" spans="1:23" ht="35.1" customHeight="1">
      <c r="A27" s="418" t="s">
        <v>883</v>
      </c>
      <c r="B27" s="418"/>
      <c r="C27" s="418"/>
      <c r="D27" s="418"/>
      <c r="E27" s="419">
        <f>IFERROR(E26/N26,"O percentual será calculado após lançamento dos valores dos itens/serviços")</f>
        <v>0.5</v>
      </c>
      <c r="F27" s="420"/>
      <c r="G27" s="420"/>
      <c r="H27" s="420"/>
      <c r="I27" s="419">
        <f>IFERROR(I26/N26,"O percentual será calculado após lançamento dos valores dos itens/serviços")</f>
        <v>0.5</v>
      </c>
      <c r="J27" s="420"/>
      <c r="K27" s="420"/>
      <c r="L27" s="420"/>
      <c r="M27" s="421"/>
      <c r="N27" s="237">
        <f>IFERROR(I27+E27,"")</f>
        <v>1</v>
      </c>
      <c r="O27" s="182"/>
      <c r="Q27" s="236"/>
      <c r="R27" s="183"/>
      <c r="S27" s="183"/>
      <c r="T27" s="183"/>
      <c r="U27" s="184"/>
      <c r="V27" s="184"/>
      <c r="W27" s="184"/>
    </row>
    <row r="28" spans="1:23">
      <c r="A28" s="182"/>
      <c r="B28" s="182"/>
      <c r="C28" s="238"/>
      <c r="D28" s="238"/>
      <c r="E28" s="239"/>
      <c r="F28" s="239"/>
      <c r="G28" s="239"/>
      <c r="H28" s="239"/>
      <c r="I28" s="239"/>
      <c r="J28" s="239"/>
      <c r="K28" s="239"/>
      <c r="L28" s="239"/>
      <c r="M28" s="239"/>
      <c r="N28" s="239"/>
      <c r="O28" s="182"/>
      <c r="P28" s="240"/>
      <c r="Q28" s="236"/>
      <c r="R28" s="183"/>
      <c r="S28" s="183"/>
      <c r="T28" s="183"/>
      <c r="U28" s="184"/>
      <c r="V28" s="184"/>
      <c r="W28" s="184"/>
    </row>
    <row r="29" spans="1:23" s="241" customFormat="1">
      <c r="A29" s="192"/>
      <c r="B29" s="192"/>
      <c r="C29" s="422"/>
      <c r="D29" s="423"/>
      <c r="E29" s="423"/>
      <c r="F29" s="423"/>
      <c r="G29" s="423"/>
      <c r="H29" s="423"/>
      <c r="I29" s="423"/>
      <c r="J29" s="423"/>
      <c r="K29" s="423"/>
      <c r="L29" s="423"/>
      <c r="M29" s="423"/>
      <c r="N29" s="423"/>
      <c r="O29" s="192"/>
      <c r="P29" s="240"/>
      <c r="Q29" s="236"/>
      <c r="R29" s="183"/>
      <c r="S29" s="183"/>
      <c r="T29" s="183"/>
      <c r="U29" s="183"/>
      <c r="V29" s="183"/>
      <c r="W29" s="183"/>
    </row>
    <row r="30" spans="1:23" s="241" customFormat="1">
      <c r="A30" s="242"/>
      <c r="B30" s="242"/>
      <c r="C30" s="423"/>
      <c r="D30" s="423"/>
      <c r="E30" s="423"/>
      <c r="F30" s="423"/>
      <c r="G30" s="423"/>
      <c r="H30" s="423"/>
      <c r="I30" s="423"/>
      <c r="J30" s="423"/>
      <c r="K30" s="423"/>
      <c r="L30" s="423"/>
      <c r="M30" s="423"/>
      <c r="N30" s="423"/>
      <c r="O30" s="192"/>
      <c r="P30" s="240"/>
      <c r="Q30" s="236"/>
      <c r="R30" s="183"/>
      <c r="S30" s="183"/>
      <c r="T30" s="183"/>
      <c r="U30" s="183"/>
      <c r="V30" s="183"/>
      <c r="W30" s="183"/>
    </row>
    <row r="31" spans="1:23" s="241" customFormat="1">
      <c r="A31" s="243"/>
      <c r="B31" s="243"/>
      <c r="C31" s="423"/>
      <c r="D31" s="423"/>
      <c r="E31" s="423"/>
      <c r="F31" s="423"/>
      <c r="G31" s="423"/>
      <c r="H31" s="423"/>
      <c r="I31" s="423"/>
      <c r="J31" s="423"/>
      <c r="K31" s="423"/>
      <c r="L31" s="423"/>
      <c r="M31" s="423"/>
      <c r="N31" s="423"/>
      <c r="O31" s="192"/>
      <c r="P31" s="244"/>
      <c r="Q31" s="236"/>
      <c r="R31" s="183"/>
      <c r="S31" s="183"/>
      <c r="T31" s="183"/>
      <c r="U31" s="183"/>
      <c r="V31" s="183"/>
      <c r="W31" s="183"/>
    </row>
    <row r="32" spans="1:23" s="241" customFormat="1">
      <c r="A32" s="243"/>
      <c r="B32" s="243"/>
      <c r="C32" s="423"/>
      <c r="D32" s="423"/>
      <c r="E32" s="423"/>
      <c r="F32" s="423"/>
      <c r="G32" s="423"/>
      <c r="H32" s="423"/>
      <c r="I32" s="423"/>
      <c r="J32" s="423"/>
      <c r="K32" s="423"/>
      <c r="L32" s="423"/>
      <c r="M32" s="423"/>
      <c r="N32" s="423"/>
      <c r="O32" s="192"/>
      <c r="P32" s="240"/>
      <c r="Q32" s="245"/>
      <c r="R32" s="183"/>
      <c r="S32" s="183"/>
      <c r="T32" s="183"/>
      <c r="U32" s="183"/>
      <c r="V32" s="183"/>
      <c r="W32" s="183"/>
    </row>
    <row r="33" spans="1:23" s="241" customFormat="1">
      <c r="A33" s="243"/>
      <c r="B33" s="243"/>
      <c r="C33" s="423"/>
      <c r="D33" s="423"/>
      <c r="E33" s="423"/>
      <c r="F33" s="423"/>
      <c r="G33" s="423"/>
      <c r="H33" s="423"/>
      <c r="I33" s="423"/>
      <c r="J33" s="423"/>
      <c r="K33" s="423"/>
      <c r="L33" s="423"/>
      <c r="M33" s="423"/>
      <c r="N33" s="423"/>
      <c r="O33" s="192"/>
      <c r="P33" s="183"/>
      <c r="Q33" s="183"/>
      <c r="R33" s="183"/>
      <c r="S33" s="183"/>
      <c r="T33" s="183"/>
      <c r="U33" s="183"/>
      <c r="V33" s="183"/>
      <c r="W33" s="183"/>
    </row>
    <row r="34" spans="1:23" ht="30.75" customHeight="1">
      <c r="A34" s="243"/>
      <c r="B34" s="243"/>
      <c r="C34" s="246"/>
      <c r="D34" s="246"/>
      <c r="E34" s="246"/>
      <c r="F34" s="246"/>
      <c r="G34" s="246"/>
      <c r="H34" s="246"/>
      <c r="I34" s="246"/>
      <c r="J34" s="246"/>
      <c r="K34" s="246"/>
      <c r="L34" s="246"/>
      <c r="M34" s="246"/>
      <c r="N34" s="246"/>
      <c r="O34" s="182"/>
      <c r="P34" s="240"/>
      <c r="Q34" s="183"/>
      <c r="R34" s="183"/>
      <c r="S34" s="183"/>
      <c r="T34" s="183"/>
      <c r="U34" s="184"/>
      <c r="V34" s="184"/>
      <c r="W34" s="184"/>
    </row>
    <row r="35" spans="1:23" ht="12" customHeight="1">
      <c r="A35" s="243"/>
      <c r="B35" s="243"/>
      <c r="C35" s="246"/>
      <c r="D35" s="246"/>
      <c r="E35" s="246"/>
      <c r="F35" s="246"/>
      <c r="G35" s="246"/>
      <c r="H35" s="246"/>
      <c r="I35" s="246"/>
      <c r="J35" s="246"/>
      <c r="K35" s="246"/>
      <c r="L35" s="246"/>
      <c r="M35" s="246"/>
      <c r="N35" s="246"/>
      <c r="O35" s="182"/>
      <c r="P35" s="240"/>
      <c r="Q35" s="183"/>
      <c r="R35" s="183"/>
      <c r="S35" s="183"/>
      <c r="T35" s="183"/>
      <c r="U35" s="184"/>
      <c r="V35" s="184"/>
      <c r="W35" s="184"/>
    </row>
    <row r="36" spans="1:23" ht="13.5" customHeight="1">
      <c r="A36" s="243"/>
      <c r="B36" s="243"/>
      <c r="C36" s="246"/>
      <c r="D36" s="246"/>
      <c r="E36" s="246"/>
      <c r="F36" s="246"/>
      <c r="G36" s="246"/>
      <c r="H36" s="246"/>
      <c r="I36" s="246"/>
      <c r="J36" s="246"/>
      <c r="K36" s="246"/>
      <c r="L36" s="246"/>
      <c r="M36" s="246"/>
      <c r="N36" s="246"/>
      <c r="O36" s="182"/>
      <c r="P36" s="240"/>
      <c r="Q36" s="183"/>
      <c r="R36" s="183"/>
      <c r="S36" s="183"/>
      <c r="T36" s="183"/>
      <c r="U36" s="184"/>
      <c r="V36" s="184"/>
      <c r="W36" s="184"/>
    </row>
    <row r="37" spans="1:23" ht="21" customHeight="1">
      <c r="A37" s="243"/>
      <c r="B37" s="243"/>
      <c r="C37" s="246"/>
      <c r="D37" s="246"/>
      <c r="E37" s="246"/>
      <c r="F37" s="246"/>
      <c r="G37" s="246"/>
      <c r="H37" s="246"/>
      <c r="I37" s="246"/>
      <c r="J37" s="246"/>
      <c r="K37" s="246"/>
      <c r="L37" s="246"/>
      <c r="M37" s="246"/>
      <c r="N37" s="246"/>
      <c r="O37" s="182"/>
      <c r="P37" s="240"/>
      <c r="Q37" s="183"/>
      <c r="R37" s="183"/>
      <c r="S37" s="183"/>
      <c r="T37" s="183"/>
      <c r="U37" s="184"/>
      <c r="V37" s="184"/>
      <c r="W37" s="184"/>
    </row>
    <row r="38" spans="1:23" ht="46.5" customHeight="1" thickBot="1">
      <c r="A38" s="243"/>
      <c r="B38" s="243"/>
      <c r="C38" s="247"/>
      <c r="D38" s="247"/>
      <c r="E38" s="247"/>
      <c r="F38" s="246"/>
      <c r="G38" s="246"/>
      <c r="H38" s="246"/>
      <c r="I38" s="246"/>
      <c r="J38" s="246"/>
      <c r="K38" s="246"/>
      <c r="L38" s="246"/>
      <c r="M38" s="246"/>
      <c r="N38" s="246"/>
      <c r="O38" s="182"/>
      <c r="P38" s="240"/>
      <c r="Q38" s="183"/>
      <c r="R38" s="183"/>
      <c r="S38" s="183"/>
      <c r="T38" s="183"/>
      <c r="U38" s="184"/>
      <c r="V38" s="184"/>
      <c r="W38" s="184"/>
    </row>
    <row r="39" spans="1:23" ht="14.45" customHeight="1">
      <c r="A39" s="182"/>
      <c r="B39" s="182"/>
      <c r="C39" s="424" t="s">
        <v>884</v>
      </c>
      <c r="D39" s="424"/>
      <c r="E39" s="424"/>
      <c r="F39" s="424"/>
      <c r="G39" s="424"/>
      <c r="H39" s="182"/>
      <c r="I39" s="182"/>
      <c r="J39" s="182"/>
      <c r="K39" s="182"/>
      <c r="L39" s="182"/>
      <c r="M39" s="182"/>
      <c r="N39" s="182"/>
      <c r="O39" s="182"/>
      <c r="P39" s="183"/>
      <c r="Q39" s="183"/>
      <c r="R39" s="183"/>
      <c r="S39" s="183"/>
      <c r="T39" s="183"/>
      <c r="U39" s="184"/>
      <c r="V39" s="184"/>
      <c r="W39" s="184"/>
    </row>
    <row r="40" spans="1:23">
      <c r="A40" s="182"/>
      <c r="B40" s="182"/>
      <c r="C40" s="248" t="s">
        <v>885</v>
      </c>
      <c r="D40" s="425"/>
      <c r="E40" s="425"/>
      <c r="F40" s="249"/>
      <c r="G40" s="250"/>
      <c r="H40" s="182"/>
      <c r="I40" s="182"/>
      <c r="J40" s="182"/>
      <c r="K40" s="182"/>
      <c r="L40" s="182"/>
      <c r="M40" s="182"/>
      <c r="N40" s="182"/>
      <c r="O40" s="182"/>
      <c r="P40" s="240"/>
      <c r="Q40" s="183"/>
      <c r="R40" s="183"/>
      <c r="S40" s="183"/>
      <c r="T40" s="183"/>
      <c r="U40" s="184"/>
      <c r="V40" s="184"/>
      <c r="W40" s="184"/>
    </row>
    <row r="41" spans="1:23">
      <c r="C41" s="248" t="s">
        <v>886</v>
      </c>
      <c r="D41" s="416"/>
      <c r="E41" s="416"/>
      <c r="F41" s="251"/>
      <c r="G41" s="252"/>
      <c r="P41" s="240"/>
      <c r="Q41" s="183"/>
      <c r="R41" s="183"/>
      <c r="S41" s="183"/>
      <c r="T41" s="183"/>
      <c r="U41" s="184"/>
    </row>
    <row r="42" spans="1:23">
      <c r="C42" s="417"/>
      <c r="D42" s="417"/>
      <c r="E42" s="417"/>
      <c r="F42" s="252"/>
      <c r="G42" s="252"/>
      <c r="P42" s="240"/>
      <c r="Q42" s="183"/>
      <c r="R42" s="183"/>
      <c r="S42" s="183"/>
      <c r="T42" s="183"/>
      <c r="U42" s="184"/>
    </row>
    <row r="43" spans="1:23">
      <c r="P43" s="244"/>
      <c r="Q43" s="183"/>
      <c r="R43" s="183"/>
      <c r="S43" s="183"/>
      <c r="T43" s="183"/>
      <c r="U43" s="184"/>
    </row>
    <row r="44" spans="1:23">
      <c r="P44" s="240"/>
      <c r="Q44" s="244"/>
      <c r="R44" s="183"/>
      <c r="S44" s="183"/>
      <c r="T44" s="183"/>
      <c r="U44" s="184"/>
    </row>
    <row r="45" spans="1:23">
      <c r="P45" s="244"/>
      <c r="Q45" s="244"/>
      <c r="R45" s="183"/>
      <c r="S45" s="183"/>
      <c r="T45" s="183"/>
      <c r="U45" s="184"/>
    </row>
    <row r="46" spans="1:23">
      <c r="P46" s="240"/>
      <c r="Q46" s="244"/>
      <c r="R46" s="183"/>
      <c r="S46" s="183"/>
      <c r="T46" s="183"/>
      <c r="U46" s="184"/>
    </row>
    <row r="47" spans="1:23">
      <c r="P47" s="253"/>
      <c r="Q47" s="244"/>
      <c r="R47" s="183"/>
      <c r="S47" s="183"/>
      <c r="T47" s="183"/>
      <c r="U47" s="184"/>
    </row>
    <row r="48" spans="1:23">
      <c r="P48" s="240"/>
      <c r="Q48" s="253"/>
      <c r="R48" s="183"/>
      <c r="S48" s="183"/>
      <c r="T48" s="183"/>
      <c r="U48" s="184"/>
    </row>
    <row r="49" spans="16:21">
      <c r="P49" s="244"/>
      <c r="Q49" s="244"/>
      <c r="R49" s="183"/>
      <c r="S49" s="183"/>
      <c r="T49" s="183"/>
      <c r="U49" s="184"/>
    </row>
    <row r="50" spans="16:21">
      <c r="P50" s="240"/>
      <c r="Q50" s="244"/>
      <c r="R50" s="183"/>
      <c r="S50" s="183"/>
      <c r="T50" s="183"/>
      <c r="U50" s="184"/>
    </row>
  </sheetData>
  <sheetProtection formatCells="0" insertColumns="0" insertRows="0" deleteColumns="0" deleteRows="0" selectLockedCells="1"/>
  <mergeCells count="71">
    <mergeCell ref="D41:E41"/>
    <mergeCell ref="C42:E42"/>
    <mergeCell ref="A27:D27"/>
    <mergeCell ref="E27:H27"/>
    <mergeCell ref="I27:M27"/>
    <mergeCell ref="C29:N33"/>
    <mergeCell ref="C39:G39"/>
    <mergeCell ref="D40:E40"/>
    <mergeCell ref="A25:D25"/>
    <mergeCell ref="E25:H25"/>
    <mergeCell ref="I25:M25"/>
    <mergeCell ref="A26:D26"/>
    <mergeCell ref="E26:H26"/>
    <mergeCell ref="I26:M26"/>
    <mergeCell ref="A23:D23"/>
    <mergeCell ref="E23:H23"/>
    <mergeCell ref="I23:M23"/>
    <mergeCell ref="A24:D24"/>
    <mergeCell ref="E24:H24"/>
    <mergeCell ref="I24:M24"/>
    <mergeCell ref="A21:A22"/>
    <mergeCell ref="B21:C22"/>
    <mergeCell ref="F21:H21"/>
    <mergeCell ref="K21:M21"/>
    <mergeCell ref="E22:H22"/>
    <mergeCell ref="I22:M22"/>
    <mergeCell ref="A19:A20"/>
    <mergeCell ref="B19:C20"/>
    <mergeCell ref="F19:H19"/>
    <mergeCell ref="K19:M19"/>
    <mergeCell ref="E20:H20"/>
    <mergeCell ref="I20:M20"/>
    <mergeCell ref="A17:A18"/>
    <mergeCell ref="B17:C18"/>
    <mergeCell ref="F17:H17"/>
    <mergeCell ref="K17:M17"/>
    <mergeCell ref="E18:H18"/>
    <mergeCell ref="I18:M18"/>
    <mergeCell ref="N11:N16"/>
    <mergeCell ref="I12:M12"/>
    <mergeCell ref="I13:J13"/>
    <mergeCell ref="L13:M13"/>
    <mergeCell ref="E14:F14"/>
    <mergeCell ref="I14:J14"/>
    <mergeCell ref="E15:F15"/>
    <mergeCell ref="I15:K15"/>
    <mergeCell ref="E16:F16"/>
    <mergeCell ref="I16:K16"/>
    <mergeCell ref="A11:A16"/>
    <mergeCell ref="B11:C16"/>
    <mergeCell ref="D11:D16"/>
    <mergeCell ref="E11:H11"/>
    <mergeCell ref="I11:M11"/>
    <mergeCell ref="A7:B7"/>
    <mergeCell ref="C7:G7"/>
    <mergeCell ref="J7:L7"/>
    <mergeCell ref="A8:B8"/>
    <mergeCell ref="C8:G8"/>
    <mergeCell ref="I8:I9"/>
    <mergeCell ref="J8:K8"/>
    <mergeCell ref="L8:N8"/>
    <mergeCell ref="A9:B9"/>
    <mergeCell ref="C9:G9"/>
    <mergeCell ref="J9:K9"/>
    <mergeCell ref="L9:N9"/>
    <mergeCell ref="A1:B4"/>
    <mergeCell ref="C1:N2"/>
    <mergeCell ref="K5:N5"/>
    <mergeCell ref="A6:B6"/>
    <mergeCell ref="C6:G6"/>
    <mergeCell ref="J6:L6"/>
  </mergeCells>
  <conditionalFormatting sqref="L9:N9">
    <cfRule type="cellIs" dxfId="16" priority="17" operator="equal">
      <formula>"Cálculo automático"</formula>
    </cfRule>
  </conditionalFormatting>
  <conditionalFormatting sqref="N18">
    <cfRule type="cellIs" dxfId="15" priority="16" operator="equal">
      <formula>"Lançar valor para as duas etapas, mesmo que ZERO"</formula>
    </cfRule>
  </conditionalFormatting>
  <conditionalFormatting sqref="E17:F17 I17:K17 E22:M22 E20:M20 E18:M18">
    <cfRule type="cellIs" dxfId="14" priority="15" operator="equal">
      <formula>0</formula>
    </cfRule>
  </conditionalFormatting>
  <conditionalFormatting sqref="N20">
    <cfRule type="cellIs" dxfId="13" priority="14" operator="equal">
      <formula>"Lançar valor para as duas etapas, mesmo que ZERO"</formula>
    </cfRule>
  </conditionalFormatting>
  <conditionalFormatting sqref="N22">
    <cfRule type="cellIs" dxfId="12" priority="13" operator="equal">
      <formula>"Lançar valor para as duas etapas, mesmo que ZERO"</formula>
    </cfRule>
  </conditionalFormatting>
  <conditionalFormatting sqref="E19:F19 I19:K19">
    <cfRule type="cellIs" dxfId="11" priority="12" operator="equal">
      <formula>0</formula>
    </cfRule>
  </conditionalFormatting>
  <conditionalFormatting sqref="E21:F21 I21:K21">
    <cfRule type="cellIs" dxfId="10" priority="11" operator="equal">
      <formula>0</formula>
    </cfRule>
  </conditionalFormatting>
  <conditionalFormatting sqref="G15">
    <cfRule type="cellIs" dxfId="9" priority="10" operator="equal">
      <formula>"XXX"</formula>
    </cfRule>
  </conditionalFormatting>
  <conditionalFormatting sqref="L14">
    <cfRule type="cellIs" dxfId="8" priority="9" operator="equal">
      <formula>"XXX"</formula>
    </cfRule>
  </conditionalFormatting>
  <conditionalFormatting sqref="E17:M22">
    <cfRule type="cellIs" dxfId="7" priority="8" operator="equal">
      <formula>"Lançar o valor mesmo que ZERO"</formula>
    </cfRule>
  </conditionalFormatting>
  <conditionalFormatting sqref="J7:L7">
    <cfRule type="cellIs" dxfId="6" priority="7" operator="equal">
      <formula>"Inserir n.º do boletim e se com ou sem desoneração"</formula>
    </cfRule>
  </conditionalFormatting>
  <conditionalFormatting sqref="N7">
    <cfRule type="cellIs" dxfId="5" priority="6" operator="equal">
      <formula>"Inserir data base do orçamento proposto"</formula>
    </cfRule>
  </conditionalFormatting>
  <conditionalFormatting sqref="C6:G6">
    <cfRule type="cellIs" dxfId="4" priority="5" operator="equal">
      <formula>"Nome do Municipio"</formula>
    </cfRule>
  </conditionalFormatting>
  <conditionalFormatting sqref="C7:G7">
    <cfRule type="cellIs" dxfId="3" priority="4" operator="equal">
      <formula>"Nome do Objeto aprovado no COC"</formula>
    </cfRule>
  </conditionalFormatting>
  <conditionalFormatting sqref="C8:G8">
    <cfRule type="cellIs" dxfId="2" priority="3" operator="equal">
      <formula>"N.º do processo da Secretaria de Turismo"</formula>
    </cfRule>
  </conditionalFormatting>
  <conditionalFormatting sqref="E25:M25">
    <cfRule type="cellIs" dxfId="1" priority="2" operator="equal">
      <formula>"Lançar o valor da contrapartida, mesmo que ZERO"</formula>
    </cfRule>
  </conditionalFormatting>
  <conditionalFormatting sqref="B17:C22">
    <cfRule type="cellIs" dxfId="0" priority="1" operator="equal">
      <formula>"Descrição do Item"</formula>
    </cfRule>
  </conditionalFormatting>
  <pageMargins left="0.23622047244094491" right="0.23622047244094491" top="0.74803149606299213" bottom="0.74803149606299213" header="0.31496062992125984" footer="0.31496062992125984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21</vt:i4>
      </vt:variant>
    </vt:vector>
  </HeadingPairs>
  <TitlesOfParts>
    <vt:vector size="25" baseType="lpstr">
      <vt:lpstr>ORÇAMENTO</vt:lpstr>
      <vt:lpstr>MEMORIA DE CÁCULO</vt:lpstr>
      <vt:lpstr>CRONOGRAMA FÍSICOFINANCEIRO DEF</vt:lpstr>
      <vt:lpstr>CRONOGRAMA DE DESEM OK Etapas</vt:lpstr>
      <vt:lpstr>'CRONOGRAMA DE DESEM OK Etapas'!Area_de_impressao</vt:lpstr>
      <vt:lpstr>'CRONOGRAMA FÍSICOFINANCEIRO DEF'!Area_de_impressao</vt:lpstr>
      <vt:lpstr>'MEMORIA DE CÁCULO'!Area_de_impressao</vt:lpstr>
      <vt:lpstr>ORÇAMENTO!Area_de_impressao</vt:lpstr>
      <vt:lpstr>'CRONOGRAMA FÍSICOFINANCEIRO DEF'!Print_Titles_0</vt:lpstr>
      <vt:lpstr>'CRONOGRAMA FÍSICOFINANCEIRO DEF'!Print_Titles_0_0</vt:lpstr>
      <vt:lpstr>'CRONOGRAMA FÍSICOFINANCEIRO DEF'!Print_Titles_0_0_0</vt:lpstr>
      <vt:lpstr>'CRONOGRAMA FÍSICOFINANCEIRO DEF'!Print_Titles_0_0_0_0</vt:lpstr>
      <vt:lpstr>'CRONOGRAMA FÍSICOFINANCEIRO DEF'!Print_Titles_0_0_0_0_0</vt:lpstr>
      <vt:lpstr>'CRONOGRAMA FÍSICOFINANCEIRO DEF'!Print_Titles_0_0_0_0_0_0</vt:lpstr>
      <vt:lpstr>'CRONOGRAMA FÍSICOFINANCEIRO DEF'!Print_Titles_0_0_0_0_0_0_0</vt:lpstr>
      <vt:lpstr>'CRONOGRAMA FÍSICOFINANCEIRO DEF'!Print_Titles_0_0_0_0_0_0_0_0</vt:lpstr>
      <vt:lpstr>'CRONOGRAMA FÍSICOFINANCEIRO DEF'!Print_Titles_0_0_0_0_0_0_0_0_0</vt:lpstr>
      <vt:lpstr>'CRONOGRAMA FÍSICOFINANCEIRO DEF'!Print_Titles_0_0_0_0_0_0_0_0_0_0</vt:lpstr>
      <vt:lpstr>'CRONOGRAMA FÍSICOFINANCEIRO DEF'!Print_Titles_0_0_0_0_0_0_0_0_0_0_0</vt:lpstr>
      <vt:lpstr>'CRONOGRAMA FÍSICOFINANCEIRO DEF'!Print_Titles_0_0_0_0_0_0_0_0_0_0_0_0</vt:lpstr>
      <vt:lpstr>'CRONOGRAMA FÍSICOFINANCEIRO DEF'!Print_Titles_0_0_0_0_0_0_0_0_0_0_0_0_0</vt:lpstr>
      <vt:lpstr>'CRONOGRAMA FÍSICOFINANCEIRO DEF'!Print_Titles_0_0_0_0_0_0_0_0_0_0_0_0_0_0</vt:lpstr>
      <vt:lpstr>'CRONOGRAMA FÍSICOFINANCEIRO DEF'!Titulos_de_impressao</vt:lpstr>
      <vt:lpstr>'MEMORIA DE CÁCULO'!Titulos_de_impressao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Denis</cp:lastModifiedBy>
  <cp:lastPrinted>2021-12-03T12:38:52Z</cp:lastPrinted>
  <dcterms:created xsi:type="dcterms:W3CDTF">2017-08-30T19:42:29Z</dcterms:created>
  <dcterms:modified xsi:type="dcterms:W3CDTF">2022-02-09T10:51:08Z</dcterms:modified>
</cp:coreProperties>
</file>