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20"/>
  </bookViews>
  <sheets>
    <sheet name="Orçamento" sheetId="1" r:id="rId1"/>
    <sheet name="MEMORIAL DE CÁLCULO (2)" sheetId="7" r:id="rId2"/>
    <sheet name="CRONOGRAMA FÍSICOFINANCEIRO (2" sheetId="6" r:id="rId3"/>
    <sheet name="CRONOGRAMA DE DESEMBOLSO PADRÃO" sheetId="5" r:id="rId4"/>
  </sheets>
  <definedNames>
    <definedName name="_xlnm.Print_Area" localSheetId="3">'CRONOGRAMA DE DESEMBOLSO PADRÃO'!$A$1:$R$49</definedName>
    <definedName name="_xlnm.Print_Area" localSheetId="2">'CRONOGRAMA FÍSICOFINANCEIRO (2'!$A$1:$P$37</definedName>
    <definedName name="_xlnm.Print_Area" localSheetId="1">'MEMORIAL DE CÁLCULO (2)'!$A$1:$H$139</definedName>
    <definedName name="_xlnm.Print_Area" localSheetId="0">Orçamento!$A$1:$H$145</definedName>
    <definedName name="Print_Titles_0" localSheetId="2">'CRONOGRAMA FÍSICOFINANCEIRO (2'!$1:$18</definedName>
    <definedName name="Print_Titles_0_0" localSheetId="2">'CRONOGRAMA FÍSICOFINANCEIRO (2'!$1:$18</definedName>
    <definedName name="Print_Titles_0_0_0" localSheetId="2">'CRONOGRAMA FÍSICOFINANCEIRO (2'!$1:$18</definedName>
    <definedName name="Print_Titles_0_0_0_0" localSheetId="2">'CRONOGRAMA FÍSICOFINANCEIRO (2'!$1:$18</definedName>
    <definedName name="Print_Titles_0_0_0_0_0" localSheetId="2">'CRONOGRAMA FÍSICOFINANCEIRO (2'!$1:$18</definedName>
    <definedName name="Print_Titles_0_0_0_0_0_0" localSheetId="2">'CRONOGRAMA FÍSICOFINANCEIRO (2'!$1:$18</definedName>
    <definedName name="Print_Titles_0_0_0_0_0_0_0" localSheetId="2">'CRONOGRAMA FÍSICOFINANCEIRO (2'!$1:$18</definedName>
    <definedName name="Print_Titles_0_0_0_0_0_0_0_0" localSheetId="2">'CRONOGRAMA FÍSICOFINANCEIRO (2'!$1:$18</definedName>
    <definedName name="Print_Titles_0_0_0_0_0_0_0_0_0" localSheetId="2">'CRONOGRAMA FÍSICOFINANCEIRO (2'!$1:$18</definedName>
    <definedName name="Print_Titles_0_0_0_0_0_0_0_0_0_0" localSheetId="2">'CRONOGRAMA FÍSICOFINANCEIRO (2'!$1:$18</definedName>
    <definedName name="Print_Titles_0_0_0_0_0_0_0_0_0_0_0" localSheetId="2">'CRONOGRAMA FÍSICOFINANCEIRO (2'!$1:$18</definedName>
    <definedName name="Print_Titles_0_0_0_0_0_0_0_0_0_0_0_0" localSheetId="2">'CRONOGRAMA FÍSICOFINANCEIRO (2'!$1:$18</definedName>
    <definedName name="Print_Titles_0_0_0_0_0_0_0_0_0_0_0_0_0" localSheetId="2">'CRONOGRAMA FÍSICOFINANCEIRO (2'!$1:$18</definedName>
    <definedName name="Print_Titles_0_0_0_0_0_0_0_0_0_0_0_0_0_0" localSheetId="2">'CRONOGRAMA FÍSICOFINANCEIRO (2'!$1:$18</definedName>
    <definedName name="_xlnm.Print_Titles" localSheetId="2">'CRONOGRAMA FÍSICOFINANCEIRO (2'!$1:$18</definedName>
    <definedName name="_xlnm.Print_Titles" localSheetId="1">'MEMORIAL DE CÁLCULO (2)'!$1:$14</definedName>
    <definedName name="_xlnm.Print_Titles" localSheetId="0">Orçamento!$1:$14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" i="6"/>
  <c r="O28"/>
  <c r="H32"/>
  <c r="G32"/>
  <c r="F32"/>
  <c r="E32"/>
  <c r="D32"/>
  <c r="N23"/>
  <c r="O32"/>
  <c r="J22"/>
  <c r="N32"/>
  <c r="M32"/>
  <c r="I32"/>
  <c r="H23"/>
  <c r="H22"/>
  <c r="I22"/>
  <c r="F20"/>
  <c r="E20"/>
  <c r="D20"/>
  <c r="F127" i="7" l="1"/>
  <c r="F127" i="1"/>
  <c r="F60"/>
  <c r="F53" i="7"/>
  <c r="F52"/>
  <c r="F51"/>
  <c r="F51" i="1"/>
  <c r="F53"/>
  <c r="F52"/>
  <c r="L32" i="6" l="1"/>
  <c r="F135" i="7" l="1"/>
  <c r="F132"/>
  <c r="F130"/>
  <c r="F129"/>
  <c r="F128"/>
  <c r="F126"/>
  <c r="F60"/>
  <c r="F125"/>
  <c r="F124"/>
  <c r="F123"/>
  <c r="F122"/>
  <c r="F121"/>
  <c r="F114"/>
  <c r="F110"/>
  <c r="F109"/>
  <c r="F108"/>
  <c r="F107"/>
  <c r="F106"/>
  <c r="F104"/>
  <c r="F100"/>
  <c r="F97"/>
  <c r="F89"/>
  <c r="F88"/>
  <c r="F87"/>
  <c r="F84"/>
  <c r="F86" s="1"/>
  <c r="F83"/>
  <c r="F82"/>
  <c r="F81"/>
  <c r="F80"/>
  <c r="F79"/>
  <c r="F78"/>
  <c r="F76" s="1"/>
  <c r="F77"/>
  <c r="F67"/>
  <c r="F68" s="1"/>
  <c r="F66"/>
  <c r="F65"/>
  <c r="F64"/>
  <c r="F63"/>
  <c r="F62"/>
  <c r="F61"/>
  <c r="F59"/>
  <c r="F57"/>
  <c r="F56"/>
  <c r="F55"/>
  <c r="F54"/>
  <c r="F50"/>
  <c r="F49"/>
  <c r="F48"/>
  <c r="F47"/>
  <c r="F45"/>
  <c r="F44"/>
  <c r="F42"/>
  <c r="F41"/>
  <c r="F40"/>
  <c r="F39"/>
  <c r="F38"/>
  <c r="F37"/>
  <c r="F36"/>
  <c r="F35"/>
  <c r="F32"/>
  <c r="F30"/>
  <c r="F29"/>
  <c r="F28"/>
  <c r="F27"/>
  <c r="F26"/>
  <c r="F25"/>
  <c r="F24"/>
  <c r="F22"/>
  <c r="F20"/>
  <c r="P30" i="6"/>
  <c r="P28"/>
  <c r="P26"/>
  <c r="I25" s="1"/>
  <c r="M29" l="1"/>
  <c r="O29"/>
  <c r="N29"/>
  <c r="N27"/>
  <c r="O27"/>
  <c r="H25"/>
  <c r="G25"/>
  <c r="P24"/>
  <c r="K32"/>
  <c r="P20"/>
  <c r="F19" s="1"/>
  <c r="J32"/>
  <c r="P22"/>
  <c r="G23" l="1"/>
  <c r="M23"/>
  <c r="H21"/>
  <c r="J21"/>
  <c r="I21"/>
  <c r="K23"/>
  <c r="L23"/>
  <c r="P32"/>
  <c r="D19"/>
  <c r="E19"/>
  <c r="G21"/>
  <c r="F31" l="1"/>
  <c r="L31"/>
  <c r="K31"/>
  <c r="N31"/>
  <c r="M31"/>
  <c r="P29"/>
  <c r="P19"/>
  <c r="D31"/>
  <c r="H31"/>
  <c r="P23"/>
  <c r="P25"/>
  <c r="J31"/>
  <c r="P27"/>
  <c r="P21"/>
  <c r="I31"/>
  <c r="E31"/>
  <c r="G31"/>
  <c r="F48" i="1"/>
  <c r="F135"/>
  <c r="F122"/>
  <c r="F67"/>
  <c r="F24"/>
  <c r="F26"/>
  <c r="F125"/>
  <c r="F123"/>
  <c r="F61"/>
  <c r="F63"/>
  <c r="F64"/>
  <c r="F29"/>
  <c r="F121"/>
  <c r="F74"/>
  <c r="F50"/>
  <c r="F41"/>
  <c r="F65"/>
  <c r="F59"/>
  <c r="F62"/>
  <c r="F97"/>
  <c r="F96"/>
  <c r="F100"/>
  <c r="P31" i="6" l="1"/>
  <c r="F68" i="1"/>
  <c r="F57"/>
  <c r="F56"/>
  <c r="F108"/>
  <c r="F107"/>
  <c r="F106"/>
  <c r="F32" l="1"/>
  <c r="F124"/>
  <c r="F126"/>
  <c r="F130"/>
  <c r="F110"/>
  <c r="F84"/>
  <c r="F83"/>
  <c r="F82"/>
  <c r="F81"/>
  <c r="F80"/>
  <c r="F79"/>
  <c r="F78"/>
  <c r="F66"/>
  <c r="F37"/>
  <c r="F40"/>
  <c r="F20"/>
  <c r="F77"/>
  <c r="F55"/>
  <c r="F54"/>
  <c r="F35"/>
  <c r="F47"/>
  <c r="F49"/>
  <c r="F45"/>
  <c r="F44"/>
  <c r="F42"/>
  <c r="F38"/>
  <c r="F39"/>
  <c r="F36"/>
  <c r="F30"/>
  <c r="F25"/>
  <c r="F28"/>
  <c r="F86" l="1"/>
  <c r="F132" l="1"/>
  <c r="F129"/>
  <c r="F109"/>
  <c r="F104"/>
  <c r="F27" l="1"/>
  <c r="F88"/>
  <c r="F89"/>
  <c r="F87"/>
  <c r="F128" l="1"/>
  <c r="F114"/>
  <c r="F76"/>
  <c r="M32" i="5" l="1"/>
  <c r="M30" s="1"/>
  <c r="I32"/>
  <c r="I30" s="1"/>
  <c r="E32"/>
  <c r="R31"/>
  <c r="R28"/>
  <c r="R26"/>
  <c r="R24"/>
  <c r="J23" s="1"/>
  <c r="R22"/>
  <c r="R20"/>
  <c r="R18"/>
  <c r="O13"/>
  <c r="J13"/>
  <c r="F13"/>
  <c r="E30" l="1"/>
  <c r="F27"/>
  <c r="O19"/>
  <c r="O21"/>
  <c r="O17"/>
  <c r="J25"/>
  <c r="F25"/>
  <c r="R32"/>
  <c r="J27"/>
  <c r="O27"/>
  <c r="O25"/>
  <c r="J19"/>
  <c r="F19"/>
  <c r="J17"/>
  <c r="F17"/>
  <c r="F21"/>
  <c r="R30"/>
  <c r="F23"/>
  <c r="N9"/>
  <c r="J21"/>
  <c r="O23"/>
  <c r="E33" l="1"/>
  <c r="R25"/>
  <c r="I33"/>
  <c r="R19"/>
  <c r="R17"/>
  <c r="R27"/>
  <c r="R23"/>
  <c r="M33"/>
  <c r="R21"/>
  <c r="F22" i="1"/>
  <c r="R33" i="5" l="1"/>
</calcChain>
</file>

<file path=xl/sharedStrings.xml><?xml version="1.0" encoding="utf-8"?>
<sst xmlns="http://schemas.openxmlformats.org/spreadsheetml/2006/main" count="1340" uniqueCount="528">
  <si>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</si>
  <si>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</si>
  <si>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</si>
  <si>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</si>
  <si>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</si>
  <si>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</si>
  <si>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</si>
  <si>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</si>
  <si>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</si>
  <si>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</si>
  <si>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2.1</t>
  </si>
  <si>
    <t>BDI (%)</t>
  </si>
  <si>
    <t>m²</t>
  </si>
  <si>
    <t>m³</t>
  </si>
  <si>
    <t>m</t>
  </si>
  <si>
    <t>Resp. Téc.: Arq. Dênis Mendes de Moraes</t>
  </si>
  <si>
    <t>CAU Nº.: A96375-5</t>
  </si>
  <si>
    <t>2.2</t>
  </si>
  <si>
    <t>2.3</t>
  </si>
  <si>
    <t>2.4</t>
  </si>
  <si>
    <t>2.5</t>
  </si>
  <si>
    <t>2.6</t>
  </si>
  <si>
    <t>1.2</t>
  </si>
  <si>
    <t>41.10.070</t>
  </si>
  <si>
    <t>41.11.721</t>
  </si>
  <si>
    <t>Total ITEM A COM BDI</t>
  </si>
  <si>
    <t>54.01.010</t>
  </si>
  <si>
    <t xml:space="preserve">    Prefeitura Municipal da Estância Turística de Paraguaçu Paulista</t>
  </si>
  <si>
    <t xml:space="preserve">Demolição mecanizada de pavimento ou piso em  concreto, inclusive fragmentação, carregamento, transporte até 1 quilômetro e descarregamento
</t>
  </si>
  <si>
    <t>03.01.240</t>
  </si>
  <si>
    <t>1.3</t>
  </si>
  <si>
    <t>1.4</t>
  </si>
  <si>
    <t>1.5</t>
  </si>
  <si>
    <t>unid</t>
  </si>
  <si>
    <t xml:space="preserve">
Plantio de grama São Carlos em placas (jardins e canteiros) </t>
  </si>
  <si>
    <t>34.02.080</t>
  </si>
  <si>
    <t>Instalação Elétrica e Iluminação</t>
  </si>
  <si>
    <t>40.02.080</t>
  </si>
  <si>
    <t>39.21.030</t>
  </si>
  <si>
    <t>38.13.010</t>
  </si>
  <si>
    <t>11.18.020</t>
  </si>
  <si>
    <t>Cabo de cobre flexível de 4 mm², isolamento 0,6/1kV - isolação HEPR 90°C</t>
  </si>
  <si>
    <t>Caixa de passagem em chapa, com tampa parafusada, 300 x 300 x 120 mm</t>
  </si>
  <si>
    <t>Lastro de areia</t>
  </si>
  <si>
    <t>2.7</t>
  </si>
  <si>
    <t>2.8</t>
  </si>
  <si>
    <t>2.9</t>
  </si>
  <si>
    <t>Reaterro manual apiloado sem controle de compactação</t>
  </si>
  <si>
    <t>06.11.040</t>
  </si>
  <si>
    <t>Boca de leão simples tipo PMSP com grelha</t>
  </si>
  <si>
    <t>49.12.058</t>
  </si>
  <si>
    <t>Locação de vias, calçadas, tanques e lagoas</t>
  </si>
  <si>
    <t>02.10.060</t>
  </si>
  <si>
    <t>Serviços complementares</t>
  </si>
  <si>
    <t>Paisagismo</t>
  </si>
  <si>
    <t>Base: CPOS - 183</t>
  </si>
  <si>
    <t>Data: Novembro/2021</t>
  </si>
  <si>
    <t>CDHU-183</t>
  </si>
  <si>
    <t>3.1</t>
  </si>
  <si>
    <t>3.2</t>
  </si>
  <si>
    <t>4.1</t>
  </si>
  <si>
    <t>Instalação Hidráulica</t>
  </si>
  <si>
    <t>4.2</t>
  </si>
  <si>
    <t>5.1</t>
  </si>
  <si>
    <t>Tubo de PVC rígido soldável marrom, DN= 25 mm, (3/4´), inclusive conexões</t>
  </si>
  <si>
    <t>46.01.020</t>
  </si>
  <si>
    <t>Torneira curta com rosca para uso geral, em latão fundido cromado, DN= 3/4´</t>
  </si>
  <si>
    <t>44.03.400</t>
  </si>
  <si>
    <t>unid.</t>
  </si>
  <si>
    <t>2.11</t>
  </si>
  <si>
    <t>11.03.090</t>
  </si>
  <si>
    <t>06.01.020</t>
  </si>
  <si>
    <t>09.02.060</t>
  </si>
  <si>
    <t>11.01.100</t>
  </si>
  <si>
    <t>09.01.020</t>
  </si>
  <si>
    <t>Escavação manual em solo de 1ª e 2ª categoria em vala ou cava até 1,5 m</t>
  </si>
  <si>
    <t>06.02.020</t>
  </si>
  <si>
    <t>Objeto: Revitalização da Praça João XXII</t>
  </si>
  <si>
    <t>46.12.010</t>
  </si>
  <si>
    <t>Forração com Lírio Amarelo, mínimo 18 mudas / m² - h= 0,50 m</t>
  </si>
  <si>
    <t>Forração com clorofito, mínimo de 20 mudas / m² - h= 0,15 m</t>
  </si>
  <si>
    <t>34.02.110</t>
  </si>
  <si>
    <t>34.02.070</t>
  </si>
  <si>
    <t>5.2</t>
  </si>
  <si>
    <t>5.3</t>
  </si>
  <si>
    <t>Árvore ornamental tipo Manacá-da-serra</t>
  </si>
  <si>
    <t>34.04.280</t>
  </si>
  <si>
    <t>Lastro de areia (para fundo da tubulação)</t>
  </si>
  <si>
    <t>5.4</t>
  </si>
  <si>
    <t>33.07.102</t>
  </si>
  <si>
    <t>33.10.050</t>
  </si>
  <si>
    <t>Tinta acrílica em massa, inclusive preparo (exterior da alvenaria da concha)</t>
  </si>
  <si>
    <t>5.5</t>
  </si>
  <si>
    <t>5.6</t>
  </si>
  <si>
    <t>33.10.020</t>
  </si>
  <si>
    <t>Guia pré-moldada reta tipo PMSP 100 - fck 25 Mpa (estacionamento)</t>
  </si>
  <si>
    <t>2.12</t>
  </si>
  <si>
    <t>41.11.711</t>
  </si>
  <si>
    <t>Local: Av Brasil s/n - Paraguaçu Paulista - SP</t>
  </si>
  <si>
    <t>54.06.040</t>
  </si>
  <si>
    <t>Memorial de Cálculo</t>
  </si>
  <si>
    <t>PARA ILUMINAÇÃO DA PRAÇA</t>
  </si>
  <si>
    <t>ORNAMENTAÇÃO DA PRAÇA</t>
  </si>
  <si>
    <t>Prefeitura Municipal da Estância Turistica de Paraguaçu Paulista</t>
  </si>
  <si>
    <t>Estado de São paulo</t>
  </si>
  <si>
    <t>CRONOGRAMA FÍSICO FINANCEIRO</t>
  </si>
  <si>
    <t>MÊS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</si>
  <si>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</si>
  <si>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</si>
  <si>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</si>
  <si>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</si>
  <si>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</si>
  <si>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</si>
  <si>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</si>
  <si>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</si>
  <si>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TOTAL</t>
  </si>
  <si>
    <t>SERVIÇOS</t>
  </si>
  <si>
    <t>1.0</t>
  </si>
  <si>
    <t>2.0</t>
  </si>
  <si>
    <t>3.0</t>
  </si>
  <si>
    <t>4.0</t>
  </si>
  <si>
    <t>5.0</t>
  </si>
  <si>
    <t>6.0</t>
  </si>
  <si>
    <t>SERVIÇOS COMPLEMENTARES</t>
  </si>
  <si>
    <t>TOTAL (%)</t>
  </si>
  <si>
    <t>TOTAL COM BDI (R$)</t>
  </si>
  <si>
    <t>Resp. Técnico: Arq. Dênis Mendes de Moraes</t>
  </si>
  <si>
    <t>INSTALAÇÃO ELÉTRICA E ILUMINAÇÃO</t>
  </si>
  <si>
    <t>INSTALAÇÃO HIDRÁULICA</t>
  </si>
  <si>
    <t>PAISAGISMO</t>
  </si>
  <si>
    <t>kg</t>
  </si>
  <si>
    <t>12.01.021</t>
  </si>
  <si>
    <t>10.01.060</t>
  </si>
  <si>
    <t>09.01.030</t>
  </si>
  <si>
    <t>02.08.040</t>
  </si>
  <si>
    <t>Placa em lona com impressão digital e requadro em metalon</t>
  </si>
  <si>
    <t>Pavimentação, mobiliário e drenagem</t>
  </si>
  <si>
    <t>Sub total  Item 1</t>
  </si>
  <si>
    <t xml:space="preserve">Serviços Preliminares </t>
  </si>
  <si>
    <t>2.10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</si>
  <si>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</si>
  <si>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</si>
  <si>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</si>
  <si>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</si>
  <si>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</si>
  <si>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</si>
  <si>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</si>
  <si>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</si>
  <si>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</si>
  <si>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</si>
  <si>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</si>
  <si>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</si>
  <si>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</si>
  <si>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</si>
  <si>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</si>
  <si>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</si>
  <si>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</si>
  <si>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</si>
  <si>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</si>
  <si>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</si>
  <si>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</si>
  <si>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</si>
  <si>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Sub total Hidraulica Item 4</t>
  </si>
  <si>
    <t>Sub total Elétrica e iluminação Item 3</t>
  </si>
  <si>
    <t>6.1</t>
  </si>
  <si>
    <t>6.2</t>
  </si>
  <si>
    <t>6.3</t>
  </si>
  <si>
    <t>6.4</t>
  </si>
  <si>
    <t>6.5</t>
  </si>
  <si>
    <t>Sub total Serviços Complementares item 6</t>
  </si>
  <si>
    <t>Sub total Paisagismo item 5</t>
  </si>
  <si>
    <t>SERVIÇOS PRELIMINARES</t>
  </si>
  <si>
    <t xml:space="preserve">PAVIMENTAÇÃO - MOBILIÁRIO E DRENAGEM </t>
  </si>
  <si>
    <t>PRAZO PROPOSTO</t>
  </si>
  <si>
    <t>ITEM</t>
  </si>
  <si>
    <t>UNIDADE</t>
  </si>
  <si>
    <t>%</t>
  </si>
  <si>
    <t>R$</t>
  </si>
  <si>
    <t>Arq. Dênis Mendes de Moraes</t>
  </si>
  <si>
    <t xml:space="preserve">      OBJETO: Revitalização da Praça João XXII</t>
  </si>
  <si>
    <t xml:space="preserve">      LOCAL:  Av Brasil s/n - Paraguaçu Paulista - SP</t>
  </si>
  <si>
    <t xml:space="preserve">     CONVÊNIO:  </t>
  </si>
  <si>
    <t xml:space="preserve">     DATA: Novembro de 2021</t>
  </si>
  <si>
    <t>Serviços Preliminares</t>
  </si>
  <si>
    <t>ÁREA PARA PLANTIO DE GRAMA</t>
  </si>
  <si>
    <t>ÁREA TOTAL DOS CANTEIROS EXISTENTES</t>
  </si>
  <si>
    <t>PARA DRENAGEM AO REDOR DA FONTE LUMINOSA</t>
  </si>
  <si>
    <t>PARA LIMITES DO BOLSÃO DE ESTACIONAMENTO CRIADO</t>
  </si>
  <si>
    <t>Forma curva em compensado para estrutura aparente (guias curvas - platéia)</t>
  </si>
  <si>
    <t>Forma curva em compensado para estrutura aparente (bancos curvos platéia)</t>
  </si>
  <si>
    <t>PARA USO GERAL E IRRIGAÇÃO</t>
  </si>
  <si>
    <t>Limpeza mecanizada do terreno, inclusive troncos até 15 cm de diâmetro, com caminhão à disposição dentro e fora da obra, com transporte no raio de até 1 km
 (jardins e canteiros)</t>
  </si>
  <si>
    <t>Reaterro manual apiloado sem controle de compactação  (guias - platéia)</t>
  </si>
  <si>
    <t>Forma de madeira comum para funcação (guias retas - platéia)</t>
  </si>
  <si>
    <t>02.09.040</t>
  </si>
  <si>
    <t>11.16.020</t>
  </si>
  <si>
    <t>Lançamento, espalhamento e adensamento de concreto ou massa em
lastro e/ou enchimento</t>
  </si>
  <si>
    <t>2.26</t>
  </si>
  <si>
    <t>2.27</t>
  </si>
  <si>
    <t>12.01.041</t>
  </si>
  <si>
    <t>10.01.040</t>
  </si>
  <si>
    <t>14.02.040</t>
  </si>
  <si>
    <t>2.28</t>
  </si>
  <si>
    <t>2.29</t>
  </si>
  <si>
    <t>32.17.010</t>
  </si>
  <si>
    <t>2.30</t>
  </si>
  <si>
    <t>CAU Nº.: A96375-5 - RRT 11439833- 11439866</t>
  </si>
  <si>
    <t>RRT 11439833- 11439866</t>
  </si>
  <si>
    <t xml:space="preserve">Total </t>
  </si>
  <si>
    <t>Broca em concreto armado diâmetro de 25 cm - completa (para o muro de arrimo)</t>
  </si>
  <si>
    <t>Tubo de concreto (PS-1), DN= 300mm  (para drenagem ao redor da fonte lum.)</t>
  </si>
  <si>
    <t>1.6</t>
  </si>
  <si>
    <t>04.04.020</t>
  </si>
  <si>
    <t>Regularização e compactação mecanizada de superfície, sem contr do proctor normal (Todo o perimetro da praça  e passeios internos)</t>
  </si>
  <si>
    <t>3.12</t>
  </si>
  <si>
    <t>Escavação manual em solo de 1ª e 2ª categoria em campo aberto</t>
  </si>
  <si>
    <t>4.3</t>
  </si>
  <si>
    <t>2.31</t>
  </si>
  <si>
    <t>17.10.020</t>
  </si>
  <si>
    <t xml:space="preserve">Banco de madeira com encosto e pés em ferro fundido pintado </t>
  </si>
  <si>
    <t xml:space="preserve">98.02.210 </t>
  </si>
  <si>
    <t>1.7</t>
  </si>
  <si>
    <t>32.16.050</t>
  </si>
  <si>
    <t>6.7</t>
  </si>
  <si>
    <t>Locação de container tipo alojamento - área mínima de 13,80 m²</t>
  </si>
  <si>
    <t>02.02.120</t>
  </si>
  <si>
    <t>1.8</t>
  </si>
  <si>
    <t>unixmês</t>
  </si>
  <si>
    <t>Luminária LED retangular para parede/piso de 11.838 até 12.150 lm, eficiência mínima 107 l (para a concha acústica)</t>
  </si>
  <si>
    <t>6.8</t>
  </si>
  <si>
    <t>19.03.020</t>
  </si>
  <si>
    <t>Estrado em madeira</t>
  </si>
  <si>
    <t>23.08.010</t>
  </si>
  <si>
    <t>6.9</t>
  </si>
  <si>
    <t>6.10</t>
  </si>
  <si>
    <t>Soalho em tábua de madeira aparelhada</t>
  </si>
  <si>
    <t>20.03.010</t>
  </si>
  <si>
    <t>Verniz em superfície de madeira</t>
  </si>
  <si>
    <t>6.11</t>
  </si>
  <si>
    <t>33.05.330</t>
  </si>
  <si>
    <t>6.12</t>
  </si>
  <si>
    <t>1.9</t>
  </si>
  <si>
    <t>05.07.040</t>
  </si>
  <si>
    <t>Árvore ornamental tipo coqueiro Jerivá - h= 4,00 m</t>
  </si>
  <si>
    <t>34.04.360</t>
  </si>
  <si>
    <t>Serviços complemetares - cobertura- pintura - metais</t>
  </si>
  <si>
    <t>Toda a área de piso de blocos existentes ao redor da fonte</t>
  </si>
  <si>
    <t>Para o piso do estacionamento e todo o piso da praça</t>
  </si>
  <si>
    <t>6.13</t>
  </si>
  <si>
    <t>INSERIR LOGOTIPO DA PREFEITURA</t>
  </si>
  <si>
    <t xml:space="preserve">CRONOGRAMA FÍSICO - DESEMBOLSO E APLICAÇÃO DOS RECURSOS </t>
  </si>
  <si>
    <t>MUNICÍPIO:</t>
  </si>
  <si>
    <t>BOLETIM Nº.</t>
  </si>
  <si>
    <t xml:space="preserve">DATA BASE: </t>
  </si>
  <si>
    <t>OBJETO:</t>
  </si>
  <si>
    <t>PROCESSO:</t>
  </si>
  <si>
    <r>
      <t xml:space="preserve">INÍCIO: </t>
    </r>
    <r>
      <rPr>
        <sz val="10"/>
        <rFont val="Calibri"/>
        <family val="2"/>
        <scheme val="minor"/>
      </rPr>
      <t xml:space="preserve"> </t>
    </r>
  </si>
  <si>
    <t xml:space="preserve">180 dias da data da assinatura do convênio </t>
  </si>
  <si>
    <t>CONVÊNIO:</t>
  </si>
  <si>
    <r>
      <t>FINAL:</t>
    </r>
    <r>
      <rPr>
        <b/>
        <u/>
        <sz val="10"/>
        <color rgb="FFFF0000"/>
        <rFont val="Calibri"/>
        <family val="2"/>
        <scheme val="minor"/>
      </rPr>
      <t/>
    </r>
  </si>
  <si>
    <t>1ª   ETAPA</t>
  </si>
  <si>
    <t>2ª   ETAPA</t>
  </si>
  <si>
    <t>3ª   ETAPA</t>
  </si>
  <si>
    <t>PERÍODO</t>
  </si>
  <si>
    <t>dias</t>
  </si>
  <si>
    <t>Licitação:</t>
  </si>
  <si>
    <t>Execução:</t>
  </si>
  <si>
    <t>Vistoria:</t>
  </si>
  <si>
    <t>Encerramento:</t>
  </si>
  <si>
    <t xml:space="preserve">RECURSOS ESTADUAIS </t>
  </si>
  <si>
    <t xml:space="preserve">RECURSOS PRÓPRIOS </t>
  </si>
  <si>
    <t xml:space="preserve">T O T A L  </t>
  </si>
  <si>
    <t>PORCENTAGEM DE SERVIÇOS</t>
  </si>
  <si>
    <t>Revitalização da Praça João XXII</t>
  </si>
  <si>
    <t>Estância Turística de Paraguaçu Paulista - SP</t>
  </si>
  <si>
    <t>CDHU 183</t>
  </si>
  <si>
    <t>NOVEMBRO DE 2021</t>
  </si>
  <si>
    <t>PAVIMENTAÇÃO- MOBILIÁRIO - DRENAGEM</t>
  </si>
  <si>
    <t xml:space="preserve">INSTALAÇÃO HIDRÁULICA </t>
  </si>
  <si>
    <t>CAU A96375-5</t>
  </si>
  <si>
    <t>ST-PRC-2021-00286-DM</t>
  </si>
  <si>
    <t>(1,5*3)+(1,5*1)= 6.00m² para identificação da obra</t>
  </si>
  <si>
    <t>3.13</t>
  </si>
  <si>
    <t>Alvenaria de elevação de 1 tijolo maciço comum  (muro de arrimo)</t>
  </si>
  <si>
    <t>16.32.120</t>
  </si>
  <si>
    <t>Cobertura plana em chapa de policarbonato alveolar de 10 mm</t>
  </si>
  <si>
    <t>1.10</t>
  </si>
  <si>
    <t>Retirada de revestimento em pedra, granito ou mármore, em piso (piso existente de mosaico do passeio)</t>
  </si>
  <si>
    <t>Remoção mosaico portugues existente</t>
  </si>
  <si>
    <t>Para todos os meses</t>
  </si>
  <si>
    <t>Concreto preparado no local fck 20mpa (concreto poste + vala)</t>
  </si>
  <si>
    <t>4.4</t>
  </si>
  <si>
    <t>4.5</t>
  </si>
  <si>
    <t>4.6</t>
  </si>
  <si>
    <t xml:space="preserve">Concreto preparado no local fck 20mpa </t>
  </si>
  <si>
    <t xml:space="preserve">Lastro de areia </t>
  </si>
  <si>
    <t>Conjunto de 4 lixeiras para coleta seletiva, com tampa basculante, capacidade 50 litros</t>
  </si>
  <si>
    <t>35.20.050</t>
  </si>
  <si>
    <t>LIXEIRAS PARA PRAÇA</t>
  </si>
  <si>
    <t/>
  </si>
  <si>
    <t>(77,76*2*0,1)= 15,55 m²( para execução dos bancos curvos da plateia)</t>
  </si>
  <si>
    <t>(26*2*1)= 52,00 m ( para apoio dos bancos curvos)</t>
  </si>
  <si>
    <t>(3*6)= 18,00 m (para execução do muro de arrimo)</t>
  </si>
  <si>
    <t>(8,1*0,5)+1,28=5,33 m² ( para execução do muro de arrimo)</t>
  </si>
  <si>
    <t>Piso em granilite moldado no local (para a mureta indicada no projeto)</t>
  </si>
  <si>
    <t>4.7</t>
  </si>
  <si>
    <t>32,34+(0,25*23,8)+(54,73*0,25)= 51,97 m² (para palco removível da concha acústica)</t>
  </si>
  <si>
    <t>(11,52*2+3,21)*0,02= 0,53 m² ( para o muro de arrimo)</t>
  </si>
  <si>
    <t>03.03.040</t>
  </si>
  <si>
    <t>1.11</t>
  </si>
  <si>
    <t>Demolição manual de revestimento em massa de parede ou teto ( muretas)</t>
  </si>
  <si>
    <t>03.02.040</t>
  </si>
  <si>
    <t>54.04.342</t>
  </si>
  <si>
    <t>Pavimentação em lajota de concreto 35 MPa, espessura 6 cm, colorido, tipos: raquete, retangular, sextavado e 16 faces, com rejunte em areia</t>
  </si>
  <si>
    <t>14.04.220</t>
  </si>
  <si>
    <t>17.02.020</t>
  </si>
  <si>
    <t>17.02.220</t>
  </si>
  <si>
    <t>41.10.430</t>
  </si>
  <si>
    <t>Poste telecônico reto em aço SAE 1010/1020 galvanizado a fogo, altura de 6,00 m</t>
  </si>
  <si>
    <t>Alvenaria de bloco cerâmico de vedação, uso revestido, de 19 cm (fechamento portas concha acústica)</t>
  </si>
  <si>
    <t>39.06.070</t>
  </si>
  <si>
    <t>Cabo de cobre de 35 mm², isolamento 8,7/15 kV - isolação EPR 90°C</t>
  </si>
  <si>
    <t>Alvenaria de elevação de 1 tijolo maciço aparente (base de apoio para caixa de apoio NH)</t>
  </si>
  <si>
    <t>14.02.080</t>
  </si>
  <si>
    <t>Chapisco (para caixa de apoio NH)</t>
  </si>
  <si>
    <t>Reboco (para caixa de apoio NH)</t>
  </si>
  <si>
    <t>Chave seccionadora tripolar sob carga para 400 A - 25 kV - com prolongador</t>
  </si>
  <si>
    <t>37.15.110</t>
  </si>
  <si>
    <t>Barra de contato para chave seccionadora tipo NH3-630 A</t>
  </si>
  <si>
    <t>37.14.830</t>
  </si>
  <si>
    <t>3.14</t>
  </si>
  <si>
    <t>3.15</t>
  </si>
  <si>
    <t>3.16</t>
  </si>
  <si>
    <t>3.17</t>
  </si>
  <si>
    <t>3.18</t>
  </si>
  <si>
    <t>3.19</t>
  </si>
  <si>
    <t>Quadro de distribuição universal de embutir, para disjuntores 16 DIN / 12 Bolt-on - 150 A - sem componentes</t>
  </si>
  <si>
    <t>37.03.200</t>
  </si>
  <si>
    <t>3.20</t>
  </si>
  <si>
    <t>40.04.460</t>
  </si>
  <si>
    <t>40.01.040</t>
  </si>
  <si>
    <t>3.21</t>
  </si>
  <si>
    <t>3.22</t>
  </si>
  <si>
    <t>Tomada 2P+T de 20 A - 250 V, completa (para uso da feira)</t>
  </si>
  <si>
    <t>Caixa de ferro estampada 4´ x 4´ (para uso da feira)</t>
  </si>
  <si>
    <t>04.09.020</t>
  </si>
  <si>
    <t>Corrimão duplo em tubo de aço inoxidável escovado, com diâmetro de 1 1/2´ e montantes com diâmetro de 2´</t>
  </si>
  <si>
    <t>24.08.020</t>
  </si>
  <si>
    <t>MÊS 9</t>
  </si>
  <si>
    <t>MÊS 10</t>
  </si>
  <si>
    <t>MÊS 11</t>
  </si>
  <si>
    <t>MÊS 12</t>
  </si>
  <si>
    <t>Impermeabilização em membrana à base de polímeros acrílicos, na cor branca(muro de arrimo)</t>
  </si>
  <si>
    <t>6.14</t>
  </si>
  <si>
    <t>Piso tátil de concreto, alerta / direcional, intertravado, espessura de 6 cm, com rejunte em areia</t>
  </si>
  <si>
    <t>30.04.100</t>
  </si>
  <si>
    <t>Sinalização horizontal com tinta vinílica ou acrílica</t>
  </si>
  <si>
    <t>70.02.010</t>
  </si>
  <si>
    <t xml:space="preserve"> Retirada dos passeios de cocreto em geral</t>
  </si>
  <si>
    <t>Retirada manual de guia pré-moldada, inclusive limpeza e empilhamento</t>
  </si>
  <si>
    <t>04.40.030</t>
  </si>
  <si>
    <t>Demolição mecanizada de concreto armado,  inclusive fragmentação, carregamento, transporte  até 1 quilômetro e descarregamento (arquibancada)</t>
  </si>
  <si>
    <t>03.01.200</t>
  </si>
  <si>
    <t>Demolição manual de concreto simples</t>
  </si>
  <si>
    <t>03.01.020</t>
  </si>
  <si>
    <t>04.40.050</t>
  </si>
  <si>
    <t>Retirada manual de paralelepípedo ou lajota de concreto, inclusive
limpeza, carregamento, transporte até 1 quilômetro e descarregamento (toda a área do entorno da fonte)</t>
  </si>
  <si>
    <t>Demolição manual de alvenaria de elevação ou elemento vazado, incluindo revestimento (mudança de portas da concha+arquibancada)</t>
  </si>
  <si>
    <t>Retirada de batente, corrimão ou peças lineares metálicas, chumbados</t>
  </si>
  <si>
    <t>04.09.060</t>
  </si>
  <si>
    <t>1.12</t>
  </si>
  <si>
    <t>1.13</t>
  </si>
  <si>
    <t>Escavação manual em solo de 1ª e 2ª categoria em campo aberto  (guias novas)</t>
  </si>
  <si>
    <t>Broca em concreto armado diâmetro de 20 cm - completa (base dos bancos)</t>
  </si>
  <si>
    <t>Forma em madeira comum para estrutura (lateral e base dos bancos e base do monumento)</t>
  </si>
  <si>
    <t>Concreto usinado, fck = 20 Mpa (base do munumento + assento da mureta+bancos curvos+muro de arrimo)</t>
  </si>
  <si>
    <t>Concreto usinado, fck = 20 Mpa (guias)</t>
  </si>
  <si>
    <t>41,71+100= 141,71 m (retirada de guias do bolsão do estacionamento)</t>
  </si>
  <si>
    <t>Remoção de entulho separado de obra com caçamba metálica - terra, alvenaria, concreto, argamassa, madeira, papel, plástico ou metal (mosaico, guias,rev. Muretas, arquibancada)</t>
  </si>
  <si>
    <t>Reassentamento de guia pré-moldada reta e/ou curva</t>
  </si>
  <si>
    <t>54.20.100</t>
  </si>
  <si>
    <t>2.32</t>
  </si>
  <si>
    <t>2.33</t>
  </si>
  <si>
    <t>2.34</t>
  </si>
  <si>
    <t xml:space="preserve">Eletroduto corrugado em polietileno de alta densidade, DN= 30 mm, com acessórios </t>
  </si>
  <si>
    <t>Eletroduto corrugado em polietileno de alta densidade, DN= 75 mm, com acessórios</t>
  </si>
  <si>
    <t>38.13.030</t>
  </si>
  <si>
    <t>Eletrocalha lisa galvanizada a fogo, 100 x 50 mm, com acessórios</t>
  </si>
  <si>
    <t>38.21.120</t>
  </si>
  <si>
    <t>39.10.130</t>
  </si>
  <si>
    <t>42.05.570</t>
  </si>
  <si>
    <t>42.05.210</t>
  </si>
  <si>
    <t>49.03.020</t>
  </si>
  <si>
    <t>Terminal de pressão/compressão para cabo de 35 mm²</t>
  </si>
  <si>
    <t>Terminal estanhado com 1 furo e 1 compressão - 16 mm²</t>
  </si>
  <si>
    <t>Haste de aterramento de 5/8'' x 3 m</t>
  </si>
  <si>
    <t>Caixa de gordura em alvenaria, 600 x 600 x 600 mm</t>
  </si>
  <si>
    <t>3.23</t>
  </si>
  <si>
    <t>3.24</t>
  </si>
  <si>
    <t>3.25</t>
  </si>
  <si>
    <t>3.26</t>
  </si>
  <si>
    <t>3.27</t>
  </si>
  <si>
    <t>Alçapão/tampa em chapa de ferro com porta cadeado</t>
  </si>
  <si>
    <t>24.03.100</t>
  </si>
  <si>
    <t>Retirada de esquadria metálica em geral (porta concha acustica)</t>
  </si>
  <si>
    <t>Placa de identificação para estacionamento, com desenho universal de acessibilidade, tipo pedestal</t>
  </si>
  <si>
    <t>30.06.090</t>
  </si>
  <si>
    <t>Coluna simples (PP), diâmetro de 2 1/2" e comprimento de 3,6 m</t>
  </si>
  <si>
    <t>70.04.001</t>
  </si>
  <si>
    <t>Montagem e desmontagem de andaime torre metálica com altura até 10 m</t>
  </si>
  <si>
    <t>02.05.060</t>
  </si>
  <si>
    <t>Andaime torre metálico (1,5 x 1,5 m) com piso metálico</t>
  </si>
  <si>
    <t>02.05.202</t>
  </si>
  <si>
    <t>mxmes</t>
  </si>
  <si>
    <t>1.14</t>
  </si>
  <si>
    <t>1.15</t>
  </si>
  <si>
    <t>(0,8*2,1)*2= 3,36 m² ( retirada portas 2 portas metálicas da concha acústica)</t>
  </si>
  <si>
    <t>93,87*0,12= 11,26 m³ (arquibancada)</t>
  </si>
  <si>
    <t>((11,72+7,3+9,27+1,25+5,15+1,52+1,53+3,58+4,86+6,5+1,55+5,05+1,27+11,22+8,95+6,88+9,05)+(11,9*2)+8)*(0,15*0,15)= 2,89 m³ (guias da praça)</t>
  </si>
  <si>
    <t>(7,77+3,4+3,52)*2+(13,4+1,2)= 43,98 m ( retirada corrimão concha acústica)</t>
  </si>
  <si>
    <t>PARA MONTAGEM E DESMONTAGEM DOS ANDAIMES</t>
  </si>
  <si>
    <t>9*1= 9mxmês (para usar no fechamento da concha acústica)</t>
  </si>
  <si>
    <t>3031,33+1277,2+183,25= 4491,78 m² (regularização de passeio de todo perímetro da praça)</t>
  </si>
  <si>
    <t>ÁREA DA PLATÉIA DA C. ACUSTICA E ESTACIONAMENTO</t>
  </si>
  <si>
    <t>(6,58+3,27+12,51+14,24+4,86+1,55+5,05+1,27+11,22+8,95+6,88+9,05+2,39+1,3+2,85+1,62+19,64+11,27)*0,2*0,15= 3,74 m³ ( para assentamento das guias novas)</t>
  </si>
  <si>
    <t>(14,24+12,51)*0,4=10,70 m² ( para execução das guias curvas)</t>
  </si>
  <si>
    <t>(6,58+3,27+4,86+1,55+5,05+1,27+11,22+8,95+6,88+9,05+2,39+1,3+2,85+1,62+50+19,64+11,27)*0,4= 59,10 m² ( para execução das guias retas)</t>
  </si>
  <si>
    <t>(6,58+3,27+4,86+1,55+5,05+1,27+11,22+8,95+6,88+9,05+2,39+1,3+2,85+1,62+50+19,64+11,27)*0,12*0,2= 3,55 m³ (para as guias)</t>
  </si>
  <si>
    <t>,2+26,58+25,4+25,4+26,58= 109,16 m ( para drenagem ao redor da fonte luminosa)</t>
  </si>
  <si>
    <t>109,16*0,4*0,6= 26,20 m³ (escavação para tubo de concreto)</t>
  </si>
  <si>
    <t>109,16*0,03*0,4= 1,31 m³ (assentamento tubulação de concreto)</t>
  </si>
  <si>
    <t>42.05.320</t>
  </si>
  <si>
    <t>Caixa de inspeção do terra cilíndrica em PVC rígido, diâmetro de 300 mm - h= 400 mm - Kit deaterramento</t>
  </si>
  <si>
    <t>Cabo de cobre nu, têmpera mole, classe 2, de 16 mm²</t>
  </si>
  <si>
    <t>39.04.050</t>
  </si>
  <si>
    <t>38.13.016</t>
  </si>
  <si>
    <t>Eletroduto corrugado em polietileno de alta densidade, DN= 40 mm, com acessórios</t>
  </si>
  <si>
    <t>17.20.140</t>
  </si>
  <si>
    <t>17.02.120</t>
  </si>
  <si>
    <t>Revestimento em pedra tipo arenito comum (muro de arrimo)</t>
  </si>
  <si>
    <t>Fechamento em placa cimentícia com espessura de 12 mm</t>
  </si>
  <si>
    <t>Impermeabilização em argamassa impermeável com aditivo hidrófugo (muro de arrimo)</t>
  </si>
  <si>
    <t>Tinta látex em massa, inclusive preparo (interior da concha+guias)</t>
  </si>
  <si>
    <t>14.31.030</t>
  </si>
  <si>
    <t>Chapisco (fechamento porta concha acustica)</t>
  </si>
  <si>
    <t>Esmalte a base de água em estrutura metálica (estrutura metálica da concha + portas+postes)</t>
  </si>
  <si>
    <t>33.02.080</t>
  </si>
  <si>
    <t>Massa corrida à base de resina acrílica (para as placas cimentícias)</t>
  </si>
  <si>
    <t>Reboco (fechamento porta concha acustica+guias</t>
  </si>
  <si>
    <t>6.15</t>
  </si>
  <si>
    <t>24.02.060</t>
  </si>
  <si>
    <t>Porta/portão de abrir em chapa, sob medida</t>
  </si>
  <si>
    <t>Concreto preparado no local, fck = 20 MPa( para assentamento em lajota da escada e rebaixos das calçadas)</t>
  </si>
  <si>
    <t>(183,25*0,06)+(65,7*0,45*0,02)+2,89+(0,3*0,02*22,61)+((71,02*2)/2)+((9,23+20,83+20,46+9,23)*0,5*0,02)=86,23 m³ (mosaico, guias,rev. Muretas, arquibancada)</t>
  </si>
  <si>
    <t>((2,87+2,87+16,87)*0,3)+(65,7*0,45)+((9,23+20,83+20,46+9,23)*0,5)= 66,22 m² (muretas)</t>
  </si>
  <si>
    <t xml:space="preserve"> 23,00 unidades conforme projeto</t>
  </si>
  <si>
    <t>Armadura em barra de aço CA-60 (A ou B) fyk = 600 Mpa (base do munumento +bancos curvos+muro de arrimo)</t>
  </si>
  <si>
    <t>Armadura em barra de aço CA-50 (A ou B) fyk = 500 Mpa (base do munumento +bancos curvos+muro de arrimo)</t>
  </si>
  <si>
    <t>((0,7+0,15+0,15)*14+(0,25*0,25)*12)+(23*0,2)= 19,35 m² ( para execução da lateral e a base dos bancos curvos e do monumento )</t>
  </si>
  <si>
    <t>((17,25+3,33+3,33+65,7)*0,4)= 35,84 m² ( para mureta indicada no projeto)</t>
  </si>
  <si>
    <t>REVESTIMENTO PARA MURO DE ARRIMO</t>
  </si>
  <si>
    <t>(0,9*2,2)*2= 3,96 m² (fechamento portas concha acústica)</t>
  </si>
  <si>
    <t>REASSENTAMENTO DE GUIAS</t>
  </si>
  <si>
    <t>((0,9*2,2)*2)*2+(6,58+3,27+4,86+1,55+5,05+1,27+11,22+8,95+6,88+9,05+2,39+1,3+2,85+1,62+50+19,64+11,27+14,24+12,51)*0,52= 98,66 m² ( fechamento porta concha acústica e fundo da concha + reboco das guias)</t>
  </si>
  <si>
    <t>Revestimento texturizado acrílico com microagregados minerais (muretas e bancos+ bancos curvos)</t>
  </si>
  <si>
    <t>Emboço comum (muretas +muro de arrimo+bancos curvos)</t>
  </si>
  <si>
    <t>(65,7*0,45)+11,52+((2,87+2,87+16,87)*0,3)+((9,23+20,83+20,46+9,23)*0,5)+(24*0,25*0,25*0,35)+(28*0,15*0,35*0,5)+(38,87*2*0,1)= 86,78 m² (muretas e bancos+bancos curvos)</t>
  </si>
  <si>
    <t>(65,7*0,45)+11,52+((2,87+2,87+16,87)*0,3)+((9,23+20,83+20,46+9,23)*0,5)+(24*0,25*0,25*0,35)+(28*0,15*0,35*0,5)+(38,87*2*0,1)= 86,78 m²  (muretas +muro de arrimo+bancos curvos)</t>
  </si>
  <si>
    <t>FECHAMENTO EM PLACA CIMENTICIA FUNDO DA CONCHA ACÚSTICA</t>
  </si>
  <si>
    <t>3.28</t>
  </si>
  <si>
    <t>3.29</t>
  </si>
  <si>
    <t>3.30</t>
  </si>
  <si>
    <t>(242,07*3)= 726,21 m ( alimentação dos postes)</t>
  </si>
  <si>
    <t>(28,22+5+4)*4= 148,88 m (para alimentar chave NH)</t>
  </si>
  <si>
    <t>(30,6+7,83+22,29+32+16,7+26,84+24,11+21,7)+7,5*8= 242,07 m ( para cabeamento de energia)</t>
  </si>
  <si>
    <t>28,22+57,56+27,86+31,66+5+4= 154,30 m (para alimentar a chave NH)</t>
  </si>
  <si>
    <t>5+2+2= 9 m (sobre os camarins)</t>
  </si>
  <si>
    <t>((30,6+7,83+22,29+32+16,7+26,84+24,11+21,7))*0,4*0,2+(28,22+57,56+27,86+31,66+5+4)*0,4*0,02= 15,80 m³ ( para eletroduto de cabeamento de energia)</t>
  </si>
  <si>
    <t>(0,4 - 0,16) * (182,07+28,22+57,56+27,86+31,66+5+4) * 1,3= 104,95 m³ ( vala de cabeamento de energia)</t>
  </si>
  <si>
    <t>(182,07+28,22+57,56+27,86+31,66+5+4)*0,2*0,08= 5,38 m³ ( para assentamento eletroduto)</t>
  </si>
  <si>
    <t>(0,4*0,4*0,4*8)+(182,07+28,22+57,56+27,86+31,66+5+4)*0,2*0,08= 5,89 m³ ( para fixação dos postes e da vala  do eletroduto)</t>
  </si>
  <si>
    <t>ILUMINAÇÃO DA CONCHA ACÚSTICA</t>
  </si>
  <si>
    <t>(0,4*0,4*0,4*8)+(182,07+28,22+57,56+27,86+31,66+5+4)*0,2*0,08= 5,89 m³ ( para concreto dos postes e da vala  do eletroduto)</t>
  </si>
  <si>
    <t>(1,7*0,6)*2= 2,04 m² (base de apoio para caixa de apoio NH)</t>
  </si>
  <si>
    <t>0,6+0,2+0,6+0,2)*1,7= 2,72 m² (para caixa de apoio NH)</t>
  </si>
  <si>
    <t>PARA CAIXA DE APOIO NH</t>
  </si>
  <si>
    <t>PARA CAIXA DE POIO NH</t>
  </si>
  <si>
    <t>PARA CONCHA E PARA FEIRA</t>
  </si>
  <si>
    <t>PARA USO DA FEIRA</t>
  </si>
  <si>
    <t>PARA ATERRAMENTO</t>
  </si>
  <si>
    <t>PARA REDE DE ELETRODUTO DE 75 mm</t>
  </si>
  <si>
    <t>36,1+88,57+19,41+40,3+17,51+10,8= 212,69 m ( para instalação da rede de abastecimento de água fria)</t>
  </si>
  <si>
    <t>212,69*0,4*0,2= 17,02 m³ ( para escavação da vala da rede de abastecimento de água)</t>
  </si>
  <si>
    <t>(212,69*0,08*0,2)= 3,40 m³ (para assentamento da rede de água fria)</t>
  </si>
  <si>
    <t>(212,69*0,08*0,2)+0,41 = 3,81 m³ (para assentamento da rede de água fria e caixa da torneira)</t>
  </si>
  <si>
    <t>(212,69*0,08*0,2)+0,41 = 3,81 m³ (para lançamento do concreto da rede de água fria e caixa da torneira)</t>
  </si>
  <si>
    <t>(0,4*0,4)*7= 1,12 m² ( para tampa da caixa da torneira)</t>
  </si>
  <si>
    <t>(49,6*3)+(1338,92*0,12*0,4)+33,544= 246,61 m² (interior da concha+guias)</t>
  </si>
  <si>
    <t>7,7*4=30,80 m² (para palco removível da concha acústica)</t>
  </si>
  <si>
    <t>1,75*2= 3,50 m ( para escada da entrada frontal da fonte)</t>
  </si>
  <si>
    <t>((7*0,25)*4+(1,6*0,25)*4)= 8,60 m² (sinalização tátil)</t>
  </si>
  <si>
    <t>SINALIZAÇÃO ESTACIONAMENTO</t>
  </si>
  <si>
    <t>(0,8*2,1)*2= 3,36 m² (portas concha acústica)</t>
  </si>
  <si>
    <t>(11,66*11)+(2*1,2)= 130,66 m² (cobertura da concha acústica)</t>
  </si>
  <si>
    <t>(11,56*2)= 23,12 m²(para muro de arrimo)</t>
  </si>
  <si>
    <t xml:space="preserve">(6,58+3,27+12,51+14,24+4,86+1,55+5,05+1,27+11,22+8,95+6,88+9,05+2,39+1,3+2,85+1,62)*0,03*0,2= 0,56 m³ (para assentamento das guias) </t>
  </si>
  <si>
    <t>((0,9*2,2)*2)*2)= 7,92 m² (fechamento portas concha acústica)</t>
  </si>
  <si>
    <t xml:space="preserve">
Cruzeta reforçada em ferro galvanizado para fixação de quatro luminárias( para 3 lumin)</t>
  </si>
  <si>
    <t>Luminária LED retangular para poste de 6250 até 
6674 lm, eficiência mínima 113 lm/W (postes novos e antigos)</t>
  </si>
  <si>
    <t>18*3= 54,00 PARA ILUMINAÇÃO DA PRAÇA (postes novos e antigos)</t>
  </si>
  <si>
    <t>(128,26*0,5)+2,63+(0,8*2,1*6*2)= 86,92 m² (estrutura metálica da concha + portas+postes)</t>
  </si>
  <si>
    <t>27,8*2= 55,60 m² (para placas cimenticias)</t>
  </si>
  <si>
    <t>Contrapartida da Prefeitura</t>
  </si>
  <si>
    <t>23,17*0,05+(17,62*2*0,05)+(5,64*2*0,05)= 3,48 m³ (contrapiso da escada para lajota de concreto)</t>
  </si>
  <si>
    <t>Concreto preparado no local, fck = 20 MPa</t>
  </si>
  <si>
    <t>(2,5*9*0,2)+((17,25+3,33+3,33+65,7)*0,4*0,06)+((24*0,25*0,25*0,35)+(28*0,15*0,35*0,5)+(38,87*0,5*0,1)*2)+(15,1*0,2*0,25)+(0,38*0,15*0,2*4)+(15,1*0,2*0,12)= 12,96 m³ (para lançamento do concreto base do monumento, assento da mureta, bancos curvos e muro de arrimo)</t>
  </si>
  <si>
    <t>(12,96*80*0,8))= 829,44 kg (base do munumento +bancos curvos+muro de arrimo)</t>
  </si>
  <si>
    <t>(12,96*80*0,2)= 207,36 kg (base do munumento +bancos curvos+muro de arrimo)</t>
  </si>
  <si>
    <t>(2,5*9*0,2)+((17,25+3,33+3,33+65,7)*0,4*0,06)+((24*0,25*0,25*0,35)+(28*0,15*0,35*0,5)+(38,87*0,5*0,1)*2)+(15,1*0,2*0,25)+(0,38*0,15*0,2*4)+(15,1*0,2*0,12)= 12,96 m³(base do munumento + assento da mureta para receber granilite+bancos curvos+muro de arrimo</t>
  </si>
  <si>
    <t>Tinta acrílica em massa, inclusive preparo (exterior da alvenaria da concha+fechamento de placa cimenticia)</t>
  </si>
  <si>
    <t>(33,56*3)+((3,65+2,71)*14)+(27,85*2)= 245,42 m² (exterior da alvenaria da concha+fechamento de placas cimenticias)</t>
  </si>
  <si>
    <t>2.35</t>
  </si>
  <si>
    <t>30,8+(0,25*23,4)=36,65 m² (para palco removível da concha acústica)</t>
  </si>
  <si>
    <t>6.6</t>
  </si>
  <si>
    <t>(0,9*2,2*2)+(12,65*0,4*8)= 44,44 (mudança de portas da concha + arquibancada)</t>
  </si>
  <si>
    <t>218/2021</t>
  </si>
  <si>
    <t>Objeto: Revitalização da Praça João XXIII</t>
  </si>
  <si>
    <t xml:space="preserve">Resp. Téc.: </t>
  </si>
</sst>
</file>

<file path=xl/styles.xml><?xml version="1.0" encoding="utf-8"?>
<styleSheet xmlns="http://schemas.openxmlformats.org/spreadsheetml/2006/main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&quot;R$&quot;\ #,##0.00"/>
    <numFmt numFmtId="166" formatCode="&quot; R$ &quot;* #,##0.00\ ;&quot;-R$ &quot;* #,##0.00\ ;&quot; R$ &quot;* \-#\ ;@\ "/>
    <numFmt numFmtId="167" formatCode="_-[$R$-416]\ * #,##0.00_-;\-[$R$-416]\ * #,##0.00_-;_-[$R$-416]\ * &quot;-&quot;??_-;_-@_-"/>
  </numFmts>
  <fonts count="4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3.5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3.5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color theme="1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</font>
    <font>
      <b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000000"/>
      <name val="Arial"/>
      <family val="2"/>
      <charset val="1"/>
    </font>
    <font>
      <sz val="10"/>
      <color theme="1"/>
      <name val="Arial"/>
      <family val="2"/>
    </font>
    <font>
      <sz val="11"/>
      <name val="Arial"/>
      <family val="2"/>
      <charset val="1"/>
    </font>
    <font>
      <sz val="10"/>
      <name val="MS Sans Serif"/>
      <family val="2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MS Sans Serif"/>
      <family val="2"/>
    </font>
    <font>
      <sz val="11"/>
      <color theme="1"/>
      <name val="MS Sans Serif"/>
      <family val="2"/>
    </font>
    <font>
      <sz val="11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D9D9D9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1">
    <xf numFmtId="0" fontId="0" fillId="0" borderId="0"/>
    <xf numFmtId="44" fontId="8" fillId="0" borderId="0" applyFont="0" applyFill="0" applyBorder="0" applyAlignment="0" applyProtection="0"/>
    <xf numFmtId="0" fontId="9" fillId="0" borderId="0"/>
    <xf numFmtId="9" fontId="9" fillId="0" borderId="0" applyBorder="0" applyProtection="0"/>
    <xf numFmtId="9" fontId="9" fillId="0" borderId="0" applyBorder="0" applyProtection="0"/>
    <xf numFmtId="0" fontId="25" fillId="0" borderId="0"/>
    <xf numFmtId="165" fontId="9" fillId="0" borderId="0" applyBorder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</cellStyleXfs>
  <cellXfs count="434">
    <xf numFmtId="0" fontId="0" fillId="0" borderId="0" xfId="0"/>
    <xf numFmtId="0" fontId="1" fillId="0" borderId="1" xfId="0" applyFont="1" applyBorder="1"/>
    <xf numFmtId="0" fontId="2" fillId="0" borderId="6" xfId="0" applyFont="1" applyBorder="1" applyAlignment="1"/>
    <xf numFmtId="0" fontId="2" fillId="0" borderId="8" xfId="0" applyFont="1" applyBorder="1" applyAlignment="1"/>
    <xf numFmtId="0" fontId="2" fillId="0" borderId="2" xfId="0" applyFont="1" applyBorder="1" applyAlignment="1"/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1" fillId="0" borderId="1" xfId="0" applyFont="1" applyBorder="1" applyAlignment="1">
      <alignment horizontal="left" wrapText="1"/>
    </xf>
    <xf numFmtId="8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7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0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Border="1" applyAlignment="1">
      <alignment horizontal="center"/>
    </xf>
    <xf numFmtId="0" fontId="1" fillId="0" borderId="0" xfId="0" applyFont="1" applyFill="1" applyBorder="1"/>
    <xf numFmtId="44" fontId="0" fillId="0" borderId="0" xfId="0" applyNumberFormat="1" applyFill="1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44" fontId="1" fillId="2" borderId="1" xfId="0" applyNumberFormat="1" applyFont="1" applyFill="1" applyBorder="1"/>
    <xf numFmtId="44" fontId="1" fillId="0" borderId="1" xfId="0" applyNumberFormat="1" applyFont="1" applyBorder="1"/>
    <xf numFmtId="44" fontId="1" fillId="0" borderId="1" xfId="0" applyNumberFormat="1" applyFont="1" applyFill="1" applyBorder="1"/>
    <xf numFmtId="44" fontId="3" fillId="2" borderId="1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1" xfId="0" applyNumberFormat="1" applyFont="1" applyFill="1" applyBorder="1" applyAlignment="1">
      <alignment horizontal="left" vertical="center"/>
    </xf>
    <xf numFmtId="44" fontId="2" fillId="0" borderId="1" xfId="0" applyNumberFormat="1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center"/>
    </xf>
    <xf numFmtId="44" fontId="2" fillId="2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44" fontId="1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1" fillId="0" borderId="10" xfId="0" applyFont="1" applyBorder="1" applyAlignment="1"/>
    <xf numFmtId="0" fontId="9" fillId="0" borderId="0" xfId="2"/>
    <xf numFmtId="0" fontId="11" fillId="0" borderId="6" xfId="2" applyFont="1" applyBorder="1" applyAlignment="1"/>
    <xf numFmtId="0" fontId="11" fillId="0" borderId="0" xfId="2" applyFont="1" applyBorder="1" applyAlignment="1"/>
    <xf numFmtId="0" fontId="11" fillId="0" borderId="7" xfId="2" applyFont="1" applyBorder="1" applyAlignment="1"/>
    <xf numFmtId="10" fontId="13" fillId="4" borderId="13" xfId="2" applyNumberFormat="1" applyFont="1" applyFill="1" applyBorder="1" applyAlignment="1">
      <alignment horizontal="center" vertical="top" wrapText="1"/>
    </xf>
    <xf numFmtId="0" fontId="9" fillId="4" borderId="3" xfId="2" applyFill="1" applyBorder="1" applyAlignment="1">
      <alignment horizontal="left" vertical="top" wrapText="1"/>
    </xf>
    <xf numFmtId="0" fontId="9" fillId="4" borderId="4" xfId="2" applyFill="1" applyBorder="1" applyAlignment="1">
      <alignment horizontal="left" vertical="top" wrapText="1"/>
    </xf>
    <xf numFmtId="0" fontId="14" fillId="4" borderId="5" xfId="2" applyFont="1" applyFill="1" applyBorder="1" applyAlignment="1">
      <alignment horizontal="right" vertical="top" wrapText="1"/>
    </xf>
    <xf numFmtId="0" fontId="15" fillId="4" borderId="15" xfId="2" applyFont="1" applyFill="1" applyBorder="1" applyAlignment="1">
      <alignment horizontal="right" vertical="top" wrapText="1"/>
    </xf>
    <xf numFmtId="1" fontId="16" fillId="4" borderId="15" xfId="2" applyNumberFormat="1" applyFont="1" applyFill="1" applyBorder="1" applyAlignment="1">
      <alignment horizontal="right" vertical="top" wrapText="1"/>
    </xf>
    <xf numFmtId="10" fontId="9" fillId="4" borderId="5" xfId="2" applyNumberFormat="1" applyFont="1" applyFill="1" applyBorder="1" applyAlignment="1">
      <alignment horizontal="center" vertical="top" wrapText="1"/>
    </xf>
    <xf numFmtId="10" fontId="9" fillId="4" borderId="13" xfId="2" applyNumberFormat="1" applyFont="1" applyFill="1" applyBorder="1" applyAlignment="1">
      <alignment horizontal="center" vertical="top" wrapText="1"/>
    </xf>
    <xf numFmtId="10" fontId="19" fillId="3" borderId="13" xfId="2" applyNumberFormat="1" applyFont="1" applyFill="1" applyBorder="1" applyAlignment="1">
      <alignment horizontal="right" vertical="top" wrapText="1"/>
    </xf>
    <xf numFmtId="10" fontId="9" fillId="0" borderId="0" xfId="2" applyNumberFormat="1"/>
    <xf numFmtId="0" fontId="9" fillId="0" borderId="15" xfId="2" applyFont="1" applyBorder="1" applyAlignment="1" applyProtection="1">
      <alignment horizontal="center" vertical="top" wrapText="1"/>
    </xf>
    <xf numFmtId="164" fontId="20" fillId="3" borderId="15" xfId="2" applyNumberFormat="1" applyFont="1" applyFill="1" applyBorder="1" applyAlignment="1" applyProtection="1">
      <alignment horizontal="right" vertical="top" wrapText="1"/>
    </xf>
    <xf numFmtId="164" fontId="9" fillId="0" borderId="0" xfId="2" applyNumberFormat="1"/>
    <xf numFmtId="10" fontId="21" fillId="0" borderId="0" xfId="3" applyNumberFormat="1" applyFont="1" applyBorder="1" applyAlignment="1" applyProtection="1">
      <alignment horizontal="left" vertical="top"/>
    </xf>
    <xf numFmtId="0" fontId="9" fillId="0" borderId="9" xfId="2" applyFont="1" applyBorder="1" applyAlignment="1" applyProtection="1">
      <alignment horizontal="center" vertical="top" wrapText="1"/>
    </xf>
    <xf numFmtId="44" fontId="9" fillId="0" borderId="15" xfId="1" applyFont="1" applyBorder="1" applyAlignment="1" applyProtection="1">
      <alignment horizontal="center" vertical="top" wrapText="1"/>
    </xf>
    <xf numFmtId="10" fontId="22" fillId="3" borderId="12" xfId="2" applyNumberFormat="1" applyFont="1" applyFill="1" applyBorder="1" applyAlignment="1">
      <alignment horizontal="center" vertical="top" wrapText="1"/>
    </xf>
    <xf numFmtId="10" fontId="23" fillId="3" borderId="12" xfId="2" applyNumberFormat="1" applyFont="1" applyFill="1" applyBorder="1" applyAlignment="1">
      <alignment horizontal="center" vertical="top" wrapText="1"/>
    </xf>
    <xf numFmtId="10" fontId="13" fillId="3" borderId="12" xfId="2" applyNumberFormat="1" applyFont="1" applyFill="1" applyBorder="1" applyAlignment="1">
      <alignment horizontal="center" vertical="top" wrapText="1"/>
    </xf>
    <xf numFmtId="166" fontId="9" fillId="0" borderId="0" xfId="2" applyNumberFormat="1" applyBorder="1" applyAlignment="1">
      <alignment horizontal="left" vertical="top"/>
    </xf>
    <xf numFmtId="164" fontId="22" fillId="3" borderId="1" xfId="2" applyNumberFormat="1" applyFont="1" applyFill="1" applyBorder="1" applyAlignment="1" applyProtection="1">
      <alignment horizontal="center" vertical="top" wrapText="1"/>
    </xf>
    <xf numFmtId="164" fontId="23" fillId="3" borderId="1" xfId="2" applyNumberFormat="1" applyFont="1" applyFill="1" applyBorder="1" applyAlignment="1" applyProtection="1">
      <alignment horizontal="center" vertical="top" wrapText="1"/>
    </xf>
    <xf numFmtId="164" fontId="13" fillId="3" borderId="1" xfId="2" applyNumberFormat="1" applyFont="1" applyFill="1" applyBorder="1" applyAlignment="1" applyProtection="1">
      <alignment horizontal="center" vertical="top" wrapText="1"/>
    </xf>
    <xf numFmtId="165" fontId="13" fillId="3" borderId="1" xfId="2" applyNumberFormat="1" applyFont="1" applyFill="1" applyBorder="1" applyAlignment="1" applyProtection="1">
      <alignment horizontal="center" vertical="top" wrapText="1"/>
    </xf>
    <xf numFmtId="164" fontId="19" fillId="3" borderId="1" xfId="2" applyNumberFormat="1" applyFont="1" applyFill="1" applyBorder="1" applyAlignment="1" applyProtection="1">
      <alignment horizontal="right" vertical="top" wrapText="1"/>
    </xf>
    <xf numFmtId="0" fontId="21" fillId="3" borderId="1" xfId="2" applyFont="1" applyFill="1" applyBorder="1" applyAlignment="1">
      <alignment horizontal="left" vertical="top" wrapText="1"/>
    </xf>
    <xf numFmtId="0" fontId="9" fillId="3" borderId="3" xfId="2" applyFill="1" applyBorder="1" applyAlignment="1">
      <alignment horizontal="left" vertical="top" wrapText="1"/>
    </xf>
    <xf numFmtId="0" fontId="9" fillId="3" borderId="4" xfId="2" applyFill="1" applyBorder="1" applyAlignment="1">
      <alignment horizontal="left" vertical="top" wrapText="1"/>
    </xf>
    <xf numFmtId="0" fontId="9" fillId="3" borderId="5" xfId="2" applyFill="1" applyBorder="1" applyAlignment="1">
      <alignment horizontal="left" vertical="top" wrapText="1"/>
    </xf>
    <xf numFmtId="0" fontId="9" fillId="0" borderId="6" xfId="2" applyFont="1" applyBorder="1" applyAlignment="1"/>
    <xf numFmtId="0" fontId="9" fillId="0" borderId="0" xfId="2" applyFont="1" applyBorder="1" applyAlignment="1"/>
    <xf numFmtId="0" fontId="9" fillId="0" borderId="8" xfId="2" applyFont="1" applyBorder="1" applyAlignment="1">
      <alignment vertical="top" wrapText="1"/>
    </xf>
    <xf numFmtId="0" fontId="9" fillId="0" borderId="2" xfId="2" applyFont="1" applyBorder="1" applyAlignment="1">
      <alignment vertical="top" wrapText="1"/>
    </xf>
    <xf numFmtId="44" fontId="1" fillId="0" borderId="10" xfId="0" applyNumberFormat="1" applyFont="1" applyFill="1" applyBorder="1"/>
    <xf numFmtId="4" fontId="1" fillId="0" borderId="0" xfId="0" applyNumberFormat="1" applyFont="1" applyFill="1" applyBorder="1" applyAlignment="1">
      <alignment horizontal="center" vertical="center"/>
    </xf>
    <xf numFmtId="44" fontId="0" fillId="0" borderId="0" xfId="0" applyNumberFormat="1" applyFill="1" applyBorder="1"/>
    <xf numFmtId="44" fontId="1" fillId="0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vertical="center"/>
    </xf>
    <xf numFmtId="44" fontId="3" fillId="0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164" fontId="20" fillId="3" borderId="14" xfId="2" applyNumberFormat="1" applyFont="1" applyFill="1" applyBorder="1" applyAlignment="1" applyProtection="1">
      <alignment horizontal="right" vertical="top" wrapText="1"/>
    </xf>
    <xf numFmtId="10" fontId="13" fillId="4" borderId="5" xfId="2" applyNumberFormat="1" applyFont="1" applyFill="1" applyBorder="1" applyAlignment="1">
      <alignment horizontal="center" vertical="top" wrapText="1"/>
    </xf>
    <xf numFmtId="164" fontId="13" fillId="0" borderId="9" xfId="2" applyNumberFormat="1" applyFont="1" applyBorder="1" applyAlignment="1" applyProtection="1">
      <alignment horizontal="center" vertical="top" wrapText="1"/>
    </xf>
    <xf numFmtId="164" fontId="13" fillId="0" borderId="15" xfId="2" applyNumberFormat="1" applyFont="1" applyBorder="1" applyAlignment="1" applyProtection="1">
      <alignment horizontal="center" vertical="top" wrapText="1"/>
    </xf>
    <xf numFmtId="0" fontId="13" fillId="0" borderId="15" xfId="2" applyFont="1" applyBorder="1" applyAlignment="1" applyProtection="1">
      <alignment horizontal="center" vertical="top" wrapText="1"/>
    </xf>
    <xf numFmtId="10" fontId="13" fillId="2" borderId="7" xfId="2" applyNumberFormat="1" applyFont="1" applyFill="1" applyBorder="1" applyAlignment="1" applyProtection="1">
      <alignment horizontal="center" vertical="top" wrapText="1"/>
    </xf>
    <xf numFmtId="10" fontId="13" fillId="2" borderId="14" xfId="2" applyNumberFormat="1" applyFont="1" applyFill="1" applyBorder="1" applyAlignment="1" applyProtection="1">
      <alignment horizontal="center" vertical="top" wrapText="1"/>
    </xf>
    <xf numFmtId="164" fontId="13" fillId="0" borderId="7" xfId="2" applyNumberFormat="1" applyFont="1" applyBorder="1" applyAlignment="1" applyProtection="1">
      <alignment horizontal="center" vertical="top" wrapText="1"/>
    </xf>
    <xf numFmtId="165" fontId="13" fillId="0" borderId="14" xfId="2" applyNumberFormat="1" applyFont="1" applyBorder="1" applyAlignment="1" applyProtection="1">
      <alignment horizontal="center" vertical="top" wrapText="1"/>
    </xf>
    <xf numFmtId="165" fontId="13" fillId="0" borderId="15" xfId="2" applyNumberFormat="1" applyFont="1" applyBorder="1" applyAlignment="1" applyProtection="1">
      <alignment horizontal="center" vertical="top" wrapText="1"/>
    </xf>
    <xf numFmtId="0" fontId="13" fillId="0" borderId="9" xfId="2" applyFont="1" applyBorder="1" applyAlignment="1" applyProtection="1">
      <alignment horizontal="center" vertical="top" wrapText="1"/>
    </xf>
    <xf numFmtId="44" fontId="13" fillId="0" borderId="15" xfId="1" applyFont="1" applyBorder="1" applyAlignment="1" applyProtection="1">
      <alignment horizontal="center" vertical="top" wrapText="1"/>
    </xf>
    <xf numFmtId="10" fontId="19" fillId="3" borderId="1" xfId="4" applyNumberFormat="1" applyFont="1" applyFill="1" applyBorder="1" applyAlignment="1" applyProtection="1">
      <alignment horizontal="right" vertical="top" wrapText="1"/>
    </xf>
    <xf numFmtId="0" fontId="9" fillId="0" borderId="0" xfId="2" applyBorder="1"/>
    <xf numFmtId="10" fontId="13" fillId="4" borderId="0" xfId="2" applyNumberFormat="1" applyFont="1" applyFill="1" applyBorder="1" applyAlignment="1">
      <alignment horizontal="center" vertical="top" wrapText="1"/>
    </xf>
    <xf numFmtId="10" fontId="20" fillId="3" borderId="14" xfId="2" applyNumberFormat="1" applyFont="1" applyFill="1" applyBorder="1" applyAlignment="1" applyProtection="1">
      <alignment horizontal="right" vertical="top" wrapText="1"/>
    </xf>
    <xf numFmtId="0" fontId="25" fillId="0" borderId="0" xfId="9" applyAlignment="1" applyProtection="1">
      <alignment vertical="center"/>
    </xf>
    <xf numFmtId="0" fontId="25" fillId="5" borderId="0" xfId="9" applyFill="1" applyBorder="1" applyAlignment="1" applyProtection="1">
      <alignment vertical="center"/>
    </xf>
    <xf numFmtId="0" fontId="25" fillId="5" borderId="0" xfId="9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29" fillId="0" borderId="0" xfId="9" applyFont="1" applyAlignment="1" applyProtection="1">
      <alignment horizontal="center" vertical="center"/>
    </xf>
    <xf numFmtId="0" fontId="29" fillId="5" borderId="0" xfId="9" applyFont="1" applyFill="1" applyBorder="1" applyAlignment="1" applyProtection="1">
      <alignment horizontal="center" vertical="center"/>
    </xf>
    <xf numFmtId="0" fontId="29" fillId="5" borderId="0" xfId="9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0" fillId="0" borderId="0" xfId="9" applyFont="1" applyBorder="1" applyAlignment="1" applyProtection="1">
      <alignment horizontal="center" vertical="center"/>
    </xf>
    <xf numFmtId="0" fontId="31" fillId="0" borderId="0" xfId="9" applyFont="1" applyBorder="1" applyAlignment="1" applyProtection="1">
      <alignment vertical="center"/>
    </xf>
    <xf numFmtId="0" fontId="25" fillId="0" borderId="0" xfId="9" applyBorder="1" applyAlignment="1" applyProtection="1">
      <alignment vertical="center"/>
    </xf>
    <xf numFmtId="0" fontId="8" fillId="5" borderId="0" xfId="9" applyFont="1" applyFill="1" applyBorder="1" applyAlignment="1" applyProtection="1">
      <alignment vertical="center"/>
    </xf>
    <xf numFmtId="0" fontId="33" fillId="0" borderId="0" xfId="9" applyFont="1" applyBorder="1" applyAlignment="1" applyProtection="1">
      <alignment vertical="center"/>
    </xf>
    <xf numFmtId="0" fontId="30" fillId="0" borderId="0" xfId="9" applyFont="1" applyBorder="1" applyAlignment="1" applyProtection="1">
      <alignment vertical="center"/>
    </xf>
    <xf numFmtId="0" fontId="30" fillId="2" borderId="1" xfId="9" applyFont="1" applyFill="1" applyBorder="1" applyAlignment="1" applyProtection="1">
      <alignment horizontal="center" vertical="center"/>
    </xf>
    <xf numFmtId="0" fontId="30" fillId="0" borderId="0" xfId="9" applyFont="1" applyBorder="1" applyAlignment="1" applyProtection="1">
      <alignment horizontal="centerContinuous" vertical="center"/>
    </xf>
    <xf numFmtId="0" fontId="31" fillId="5" borderId="0" xfId="9" applyFont="1" applyFill="1" applyBorder="1" applyAlignment="1" applyProtection="1">
      <alignment vertical="center" wrapText="1"/>
    </xf>
    <xf numFmtId="0" fontId="33" fillId="0" borderId="0" xfId="9" applyFont="1" applyBorder="1" applyAlignment="1" applyProtection="1">
      <alignment vertical="center" wrapText="1"/>
    </xf>
    <xf numFmtId="14" fontId="31" fillId="0" borderId="2" xfId="9" applyNumberFormat="1" applyFont="1" applyBorder="1" applyAlignment="1" applyProtection="1">
      <alignment vertical="center"/>
    </xf>
    <xf numFmtId="0" fontId="35" fillId="0" borderId="0" xfId="9" applyFont="1" applyBorder="1" applyAlignment="1" applyProtection="1">
      <alignment horizontal="left" vertical="center"/>
    </xf>
    <xf numFmtId="0" fontId="29" fillId="5" borderId="0" xfId="9" applyFont="1" applyFill="1" applyBorder="1" applyAlignment="1" applyProtection="1">
      <alignment vertical="center" wrapText="1"/>
    </xf>
    <xf numFmtId="0" fontId="31" fillId="0" borderId="0" xfId="9" applyFont="1" applyBorder="1" applyAlignment="1" applyProtection="1">
      <alignment horizontal="center" vertical="center"/>
    </xf>
    <xf numFmtId="0" fontId="8" fillId="5" borderId="0" xfId="9" applyFont="1" applyFill="1" applyBorder="1" applyAlignment="1" applyProtection="1">
      <alignment horizontal="left" vertical="center"/>
    </xf>
    <xf numFmtId="0" fontId="38" fillId="0" borderId="10" xfId="9" applyFont="1" applyBorder="1" applyAlignment="1" applyProtection="1">
      <alignment vertical="center" wrapText="1"/>
    </xf>
    <xf numFmtId="0" fontId="38" fillId="0" borderId="11" xfId="9" applyFont="1" applyBorder="1" applyAlignment="1" applyProtection="1">
      <alignment vertical="center" wrapText="1"/>
    </xf>
    <xf numFmtId="0" fontId="39" fillId="0" borderId="10" xfId="5" applyFont="1" applyBorder="1" applyAlignment="1" applyProtection="1">
      <alignment horizontal="right" vertical="center" wrapText="1"/>
    </xf>
    <xf numFmtId="0" fontId="30" fillId="0" borderId="11" xfId="5" applyFont="1" applyBorder="1" applyAlignment="1" applyProtection="1">
      <alignment horizontal="center" vertical="center" wrapText="1"/>
      <protection hidden="1"/>
    </xf>
    <xf numFmtId="0" fontId="39" fillId="0" borderId="11" xfId="5" applyFont="1" applyBorder="1" applyAlignment="1" applyProtection="1">
      <alignment horizontal="left" vertical="center" wrapText="1" indent="1"/>
    </xf>
    <xf numFmtId="0" fontId="39" fillId="0" borderId="12" xfId="5" applyFont="1" applyBorder="1" applyAlignment="1" applyProtection="1">
      <alignment vertical="center" wrapText="1"/>
    </xf>
    <xf numFmtId="0" fontId="34" fillId="0" borderId="0" xfId="5" applyFont="1" applyBorder="1" applyAlignment="1" applyProtection="1">
      <alignment horizontal="center" vertical="center" wrapText="1"/>
    </xf>
    <xf numFmtId="0" fontId="34" fillId="0" borderId="5" xfId="5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34" fillId="0" borderId="0" xfId="5" applyFont="1" applyBorder="1" applyAlignment="1" applyProtection="1">
      <alignment horizontal="center" vertical="center" wrapText="1"/>
      <protection locked="0"/>
    </xf>
    <xf numFmtId="0" fontId="33" fillId="0" borderId="5" xfId="5" applyFont="1" applyBorder="1" applyAlignment="1" applyProtection="1">
      <alignment horizontal="center" vertical="center" wrapText="1"/>
    </xf>
    <xf numFmtId="0" fontId="34" fillId="5" borderId="0" xfId="9" applyFont="1" applyFill="1" applyBorder="1" applyAlignment="1" applyProtection="1">
      <alignment vertical="center" wrapText="1"/>
    </xf>
    <xf numFmtId="0" fontId="33" fillId="0" borderId="7" xfId="5" applyFont="1" applyBorder="1" applyAlignment="1" applyProtection="1">
      <alignment horizontal="center" vertical="center" wrapText="1"/>
    </xf>
    <xf numFmtId="0" fontId="34" fillId="0" borderId="7" xfId="5" applyFont="1" applyBorder="1" applyAlignment="1" applyProtection="1">
      <alignment horizontal="center" vertical="center" wrapText="1"/>
    </xf>
    <xf numFmtId="0" fontId="34" fillId="0" borderId="2" xfId="5" applyFont="1" applyBorder="1" applyAlignment="1" applyProtection="1">
      <alignment horizontal="center" vertical="center" wrapText="1"/>
    </xf>
    <xf numFmtId="0" fontId="34" fillId="0" borderId="9" xfId="5" applyFont="1" applyBorder="1" applyAlignment="1" applyProtection="1">
      <alignment horizontal="center" vertical="center" wrapText="1"/>
    </xf>
    <xf numFmtId="0" fontId="31" fillId="0" borderId="29" xfId="9" applyFont="1" applyBorder="1" applyAlignment="1" applyProtection="1">
      <alignment horizontal="center" vertical="center"/>
    </xf>
    <xf numFmtId="10" fontId="31" fillId="0" borderId="25" xfId="8" applyNumberFormat="1" applyFont="1" applyFill="1" applyBorder="1" applyAlignment="1" applyProtection="1">
      <alignment vertical="center" wrapText="1"/>
      <protection hidden="1"/>
    </xf>
    <xf numFmtId="10" fontId="31" fillId="0" borderId="25" xfId="8" applyNumberFormat="1" applyFont="1" applyBorder="1" applyAlignment="1" applyProtection="1">
      <alignment vertical="center" wrapText="1"/>
      <protection hidden="1"/>
    </xf>
    <xf numFmtId="10" fontId="31" fillId="0" borderId="30" xfId="8" applyNumberFormat="1" applyFont="1" applyBorder="1" applyAlignment="1" applyProtection="1">
      <alignment vertical="center" wrapText="1"/>
      <protection hidden="1"/>
    </xf>
    <xf numFmtId="10" fontId="31" fillId="0" borderId="27" xfId="8" applyNumberFormat="1" applyFont="1" applyBorder="1" applyAlignment="1" applyProtection="1">
      <alignment horizontal="center" vertical="center" wrapText="1"/>
      <protection hidden="1"/>
    </xf>
    <xf numFmtId="0" fontId="31" fillId="0" borderId="9" xfId="9" applyFont="1" applyBorder="1" applyAlignment="1" applyProtection="1">
      <alignment horizontal="center" vertical="center"/>
    </xf>
    <xf numFmtId="167" fontId="31" fillId="0" borderId="33" xfId="1" applyNumberFormat="1" applyFont="1" applyBorder="1" applyAlignment="1" applyProtection="1">
      <alignment horizontal="center" vertical="center" wrapText="1"/>
      <protection hidden="1"/>
    </xf>
    <xf numFmtId="0" fontId="0" fillId="5" borderId="0" xfId="0" applyFill="1" applyBorder="1" applyAlignment="1" applyProtection="1">
      <alignment vertical="center"/>
    </xf>
    <xf numFmtId="0" fontId="0" fillId="5" borderId="0" xfId="0" applyFill="1" applyAlignment="1" applyProtection="1">
      <alignment vertical="center"/>
    </xf>
    <xf numFmtId="4" fontId="30" fillId="1" borderId="13" xfId="9" applyNumberFormat="1" applyFont="1" applyFill="1" applyBorder="1" applyAlignment="1" applyProtection="1">
      <alignment horizontal="center" vertical="center"/>
    </xf>
    <xf numFmtId="0" fontId="31" fillId="5" borderId="0" xfId="9" applyFont="1" applyFill="1" applyBorder="1" applyAlignment="1" applyProtection="1">
      <alignment horizontal="center" vertical="center"/>
    </xf>
    <xf numFmtId="0" fontId="31" fillId="5" borderId="0" xfId="9" applyFont="1" applyFill="1" applyAlignment="1" applyProtection="1">
      <alignment horizontal="center" vertical="center"/>
    </xf>
    <xf numFmtId="44" fontId="31" fillId="0" borderId="27" xfId="1" applyFont="1" applyFill="1" applyBorder="1" applyAlignment="1" applyProtection="1">
      <alignment horizontal="center" vertical="center" wrapText="1"/>
      <protection hidden="1"/>
    </xf>
    <xf numFmtId="44" fontId="30" fillId="0" borderId="27" xfId="1" applyFont="1" applyFill="1" applyBorder="1" applyAlignment="1" applyProtection="1">
      <alignment horizontal="center" vertical="center" wrapText="1"/>
      <protection hidden="1"/>
    </xf>
    <xf numFmtId="0" fontId="30" fillId="5" borderId="0" xfId="9" applyFont="1" applyFill="1" applyBorder="1" applyAlignment="1" applyProtection="1">
      <alignment horizontal="center" vertical="center"/>
    </xf>
    <xf numFmtId="10" fontId="30" fillId="0" borderId="1" xfId="8" applyNumberFormat="1" applyFont="1" applyBorder="1" applyAlignment="1" applyProtection="1">
      <alignment horizontal="center" vertical="center" wrapText="1"/>
      <protection hidden="1"/>
    </xf>
    <xf numFmtId="0" fontId="30" fillId="5" borderId="0" xfId="9" applyFont="1" applyFill="1" applyBorder="1" applyAlignment="1" applyProtection="1">
      <alignment horizontal="right" vertical="center"/>
    </xf>
    <xf numFmtId="167" fontId="31" fillId="0" borderId="0" xfId="10" applyNumberFormat="1" applyFont="1" applyBorder="1" applyAlignment="1" applyProtection="1">
      <alignment horizontal="center" vertical="center"/>
    </xf>
    <xf numFmtId="0" fontId="31" fillId="5" borderId="0" xfId="9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30" fillId="0" borderId="0" xfId="9" applyNumberFormat="1" applyFont="1" applyBorder="1" applyAlignment="1" applyProtection="1">
      <alignment vertical="center" wrapText="1"/>
    </xf>
    <xf numFmtId="0" fontId="31" fillId="0" borderId="0" xfId="9" applyNumberFormat="1" applyFont="1" applyBorder="1" applyAlignment="1" applyProtection="1">
      <alignment vertical="center" wrapText="1"/>
    </xf>
    <xf numFmtId="0" fontId="31" fillId="5" borderId="0" xfId="9" applyFont="1" applyFill="1" applyBorder="1" applyAlignment="1" applyProtection="1">
      <alignment vertical="center"/>
    </xf>
    <xf numFmtId="14" fontId="30" fillId="5" borderId="0" xfId="9" applyNumberFormat="1" applyFont="1" applyFill="1" applyBorder="1" applyAlignment="1" applyProtection="1">
      <alignment horizontal="center" vertical="center"/>
    </xf>
    <xf numFmtId="0" fontId="25" fillId="0" borderId="0" xfId="9" applyBorder="1" applyAlignment="1" applyProtection="1">
      <alignment horizontal="left" vertical="center"/>
    </xf>
    <xf numFmtId="0" fontId="25" fillId="0" borderId="28" xfId="9" applyBorder="1" applyAlignment="1" applyProtection="1">
      <alignment horizontal="left" vertical="center"/>
    </xf>
    <xf numFmtId="0" fontId="31" fillId="0" borderId="0" xfId="9" applyFont="1" applyBorder="1" applyAlignment="1" applyProtection="1">
      <alignment horizontal="center" vertical="center" wrapText="1"/>
    </xf>
    <xf numFmtId="0" fontId="41" fillId="0" borderId="0" xfId="9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4" fontId="31" fillId="5" borderId="0" xfId="9" applyNumberFormat="1" applyFont="1" applyFill="1" applyBorder="1" applyAlignment="1" applyProtection="1">
      <alignment vertical="center"/>
    </xf>
    <xf numFmtId="44" fontId="13" fillId="0" borderId="15" xfId="2" applyNumberFormat="1" applyFont="1" applyBorder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  <protection locked="0"/>
    </xf>
    <xf numFmtId="14" fontId="31" fillId="0" borderId="1" xfId="9" applyNumberFormat="1" applyFont="1" applyBorder="1" applyAlignment="1" applyProtection="1">
      <alignment horizontal="center" vertical="center" wrapText="1"/>
      <protection locked="0"/>
    </xf>
    <xf numFmtId="44" fontId="0" fillId="6" borderId="0" xfId="0" applyNumberFormat="1" applyFill="1"/>
    <xf numFmtId="0" fontId="0" fillId="6" borderId="0" xfId="0" applyFill="1"/>
    <xf numFmtId="0" fontId="43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top"/>
    </xf>
    <xf numFmtId="0" fontId="43" fillId="0" borderId="1" xfId="0" applyFont="1" applyFill="1" applyBorder="1" applyAlignment="1">
      <alignment horizontal="center"/>
    </xf>
    <xf numFmtId="2" fontId="43" fillId="0" borderId="1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top" wrapText="1"/>
    </xf>
    <xf numFmtId="4" fontId="43" fillId="0" borderId="1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vertical="top" wrapText="1"/>
    </xf>
    <xf numFmtId="0" fontId="43" fillId="0" borderId="0" xfId="0" applyFont="1" applyFill="1" applyAlignment="1">
      <alignment wrapText="1"/>
    </xf>
    <xf numFmtId="44" fontId="43" fillId="0" borderId="1" xfId="0" applyNumberFormat="1" applyFont="1" applyFill="1" applyBorder="1" applyAlignment="1">
      <alignment vertical="center"/>
    </xf>
    <xf numFmtId="0" fontId="43" fillId="0" borderId="1" xfId="0" applyFont="1" applyFill="1" applyBorder="1" applyAlignment="1">
      <alignment horizontal="left" wrapText="1"/>
    </xf>
    <xf numFmtId="44" fontId="43" fillId="0" borderId="1" xfId="0" applyNumberFormat="1" applyFont="1" applyFill="1" applyBorder="1" applyAlignment="1">
      <alignment horizontal="center" vertical="center"/>
    </xf>
    <xf numFmtId="4" fontId="43" fillId="0" borderId="1" xfId="0" applyNumberFormat="1" applyFont="1" applyFill="1" applyBorder="1" applyAlignment="1">
      <alignment horizontal="center"/>
    </xf>
    <xf numFmtId="44" fontId="43" fillId="0" borderId="1" xfId="0" applyNumberFormat="1" applyFont="1" applyFill="1" applyBorder="1"/>
    <xf numFmtId="4" fontId="4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0" fontId="31" fillId="0" borderId="25" xfId="8" quotePrefix="1" applyNumberFormat="1" applyFont="1" applyFill="1" applyBorder="1" applyAlignment="1" applyProtection="1">
      <alignment vertical="center" wrapText="1"/>
      <protection hidden="1"/>
    </xf>
    <xf numFmtId="167" fontId="0" fillId="0" borderId="0" xfId="0" applyNumberFormat="1" applyAlignment="1" applyProtection="1">
      <alignment vertical="center"/>
    </xf>
    <xf numFmtId="0" fontId="0" fillId="6" borderId="0" xfId="0" applyNumberFormat="1" applyFill="1"/>
    <xf numFmtId="0" fontId="43" fillId="0" borderId="0" xfId="0" applyFont="1" applyFill="1" applyAlignment="1">
      <alignment horizontal="center" vertical="center"/>
    </xf>
    <xf numFmtId="0" fontId="43" fillId="0" borderId="13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left" vertical="top" wrapText="1"/>
    </xf>
    <xf numFmtId="2" fontId="0" fillId="6" borderId="0" xfId="0" applyNumberFormat="1" applyFill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/>
    </xf>
    <xf numFmtId="2" fontId="1" fillId="0" borderId="0" xfId="0" applyNumberFormat="1" applyFont="1" applyFill="1" applyAlignment="1">
      <alignment horizontal="center" vertical="center"/>
    </xf>
    <xf numFmtId="44" fontId="1" fillId="0" borderId="0" xfId="0" applyNumberFormat="1" applyFont="1" applyFill="1" applyBorder="1"/>
    <xf numFmtId="0" fontId="43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wrapText="1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vertical="center" wrapText="1"/>
    </xf>
    <xf numFmtId="0" fontId="43" fillId="0" borderId="13" xfId="0" applyFont="1" applyFill="1" applyBorder="1" applyAlignment="1">
      <alignment horizontal="left" vertical="center" wrapText="1"/>
    </xf>
    <xf numFmtId="0" fontId="43" fillId="0" borderId="0" xfId="0" applyFont="1" applyFill="1" applyAlignment="1">
      <alignment vertical="center" wrapText="1"/>
    </xf>
    <xf numFmtId="164" fontId="9" fillId="0" borderId="0" xfId="2" applyNumberFormat="1" applyBorder="1" applyAlignment="1">
      <alignment horizontal="left" vertical="top"/>
    </xf>
    <xf numFmtId="44" fontId="9" fillId="0" borderId="0" xfId="1" applyFont="1"/>
    <xf numFmtId="44" fontId="3" fillId="0" borderId="10" xfId="0" applyNumberFormat="1" applyFont="1" applyFill="1" applyBorder="1"/>
    <xf numFmtId="44" fontId="3" fillId="2" borderId="10" xfId="0" applyNumberFormat="1" applyFont="1" applyFill="1" applyBorder="1"/>
    <xf numFmtId="8" fontId="3" fillId="2" borderId="10" xfId="0" applyNumberFormat="1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8" fontId="46" fillId="0" borderId="0" xfId="0" applyNumberFormat="1" applyFont="1" applyFill="1" applyBorder="1"/>
    <xf numFmtId="44" fontId="46" fillId="0" borderId="0" xfId="1" applyFont="1" applyFill="1" applyBorder="1"/>
    <xf numFmtId="44" fontId="45" fillId="0" borderId="6" xfId="0" applyNumberFormat="1" applyFont="1" applyFill="1" applyBorder="1"/>
    <xf numFmtId="0" fontId="45" fillId="0" borderId="6" xfId="0" applyFont="1" applyFill="1" applyBorder="1"/>
    <xf numFmtId="44" fontId="46" fillId="0" borderId="6" xfId="0" applyNumberFormat="1" applyFont="1" applyFill="1" applyBorder="1"/>
    <xf numFmtId="44" fontId="1" fillId="0" borderId="10" xfId="0" applyNumberFormat="1" applyFont="1" applyFill="1" applyBorder="1" applyAlignment="1">
      <alignment vertical="center"/>
    </xf>
    <xf numFmtId="44" fontId="0" fillId="0" borderId="6" xfId="0" applyNumberFormat="1" applyFill="1" applyBorder="1"/>
    <xf numFmtId="4" fontId="43" fillId="0" borderId="6" xfId="0" applyNumberFormat="1" applyFont="1" applyFill="1" applyBorder="1" applyAlignment="1">
      <alignment horizontal="center" vertical="center"/>
    </xf>
    <xf numFmtId="44" fontId="45" fillId="0" borderId="0" xfId="0" applyNumberFormat="1" applyFont="1" applyFill="1" applyBorder="1"/>
    <xf numFmtId="10" fontId="13" fillId="3" borderId="1" xfId="2" applyNumberFormat="1" applyFont="1" applyFill="1" applyBorder="1" applyAlignment="1">
      <alignment horizontal="center" vertical="top" wrapText="1"/>
    </xf>
    <xf numFmtId="44" fontId="25" fillId="0" borderId="0" xfId="9" applyNumberFormat="1" applyAlignment="1" applyProtection="1">
      <alignment vertical="center"/>
    </xf>
    <xf numFmtId="167" fontId="0" fillId="5" borderId="0" xfId="0" applyNumberFormat="1" applyFill="1" applyBorder="1" applyAlignment="1" applyProtection="1">
      <alignment vertical="center"/>
    </xf>
    <xf numFmtId="0" fontId="14" fillId="4" borderId="13" xfId="2" applyFont="1" applyFill="1" applyBorder="1" applyAlignment="1">
      <alignment horizontal="center" vertical="top" wrapText="1"/>
    </xf>
    <xf numFmtId="0" fontId="9" fillId="3" borderId="1" xfId="2" applyFill="1" applyBorder="1" applyAlignment="1">
      <alignment horizontal="left" vertical="top" wrapText="1"/>
    </xf>
    <xf numFmtId="0" fontId="24" fillId="0" borderId="0" xfId="2" applyFont="1" applyBorder="1" applyAlignment="1"/>
    <xf numFmtId="0" fontId="24" fillId="0" borderId="7" xfId="2" applyFont="1" applyBorder="1" applyAlignment="1"/>
    <xf numFmtId="0" fontId="24" fillId="0" borderId="2" xfId="2" applyFont="1" applyBorder="1" applyAlignment="1">
      <alignment vertical="top" wrapText="1"/>
    </xf>
    <xf numFmtId="0" fontId="24" fillId="0" borderId="9" xfId="2" applyFont="1" applyBorder="1" applyAlignment="1">
      <alignment vertical="top" wrapText="1"/>
    </xf>
    <xf numFmtId="44" fontId="9" fillId="0" borderId="15" xfId="1" applyFont="1" applyBorder="1" applyAlignment="1" applyProtection="1">
      <alignment horizontal="center" vertical="center" wrapText="1"/>
    </xf>
    <xf numFmtId="44" fontId="13" fillId="0" borderId="0" xfId="1" applyFont="1" applyBorder="1" applyAlignment="1">
      <alignment vertical="top"/>
    </xf>
    <xf numFmtId="0" fontId="9" fillId="0" borderId="2" xfId="2" applyBorder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44" fontId="1" fillId="0" borderId="1" xfId="0" applyNumberFormat="1" applyFont="1" applyFill="1" applyBorder="1" applyAlignment="1">
      <alignment horizontal="center" wrapText="1"/>
    </xf>
    <xf numFmtId="44" fontId="1" fillId="0" borderId="10" xfId="0" applyNumberFormat="1" applyFont="1" applyFill="1" applyBorder="1" applyAlignment="1">
      <alignment horizontal="center" wrapText="1"/>
    </xf>
    <xf numFmtId="44" fontId="1" fillId="0" borderId="12" xfId="0" applyNumberFormat="1" applyFont="1" applyFill="1" applyBorder="1" applyAlignment="1">
      <alignment horizontal="center" wrapText="1"/>
    </xf>
    <xf numFmtId="44" fontId="23" fillId="0" borderId="10" xfId="0" applyNumberFormat="1" applyFont="1" applyFill="1" applyBorder="1" applyAlignment="1">
      <alignment horizontal="center" vertical="center"/>
    </xf>
    <xf numFmtId="44" fontId="23" fillId="0" borderId="12" xfId="0" applyNumberFormat="1" applyFont="1" applyFill="1" applyBorder="1" applyAlignment="1">
      <alignment horizontal="center" vertical="center"/>
    </xf>
    <xf numFmtId="44" fontId="2" fillId="0" borderId="10" xfId="0" applyNumberFormat="1" applyFont="1" applyFill="1" applyBorder="1" applyAlignment="1">
      <alignment horizontal="center" vertical="center"/>
    </xf>
    <xf numFmtId="44" fontId="2" fillId="0" borderId="12" xfId="0" applyNumberFormat="1" applyFont="1" applyFill="1" applyBorder="1" applyAlignment="1">
      <alignment horizontal="center" vertical="center"/>
    </xf>
    <xf numFmtId="44" fontId="1" fillId="2" borderId="10" xfId="0" applyNumberFormat="1" applyFont="1" applyFill="1" applyBorder="1" applyAlignment="1">
      <alignment horizontal="center" vertical="center"/>
    </xf>
    <xf numFmtId="44" fontId="1" fillId="2" borderId="12" xfId="0" applyNumberFormat="1" applyFont="1" applyFill="1" applyBorder="1" applyAlignment="1">
      <alignment horizontal="center" vertical="center"/>
    </xf>
    <xf numFmtId="44" fontId="1" fillId="0" borderId="10" xfId="0" applyNumberFormat="1" applyFont="1" applyFill="1" applyBorder="1" applyAlignment="1">
      <alignment horizontal="center" vertical="center" wrapText="1"/>
    </xf>
    <xf numFmtId="44" fontId="1" fillId="0" borderId="12" xfId="0" applyNumberFormat="1" applyFont="1" applyFill="1" applyBorder="1" applyAlignment="1">
      <alignment horizontal="center" vertical="center" wrapText="1"/>
    </xf>
    <xf numFmtId="44" fontId="2" fillId="0" borderId="10" xfId="0" applyNumberFormat="1" applyFont="1" applyFill="1" applyBorder="1" applyAlignment="1">
      <alignment horizontal="center" vertical="center" wrapText="1"/>
    </xf>
    <xf numFmtId="44" fontId="2" fillId="0" borderId="12" xfId="0" applyNumberFormat="1" applyFont="1" applyFill="1" applyBorder="1" applyAlignment="1">
      <alignment horizontal="center" vertical="center" wrapText="1"/>
    </xf>
    <xf numFmtId="44" fontId="2" fillId="2" borderId="10" xfId="0" applyNumberFormat="1" applyFont="1" applyFill="1" applyBorder="1" applyAlignment="1">
      <alignment horizontal="center" vertical="center"/>
    </xf>
    <xf numFmtId="44" fontId="2" fillId="2" borderId="12" xfId="0" applyNumberFormat="1" applyFont="1" applyFill="1" applyBorder="1" applyAlignment="1">
      <alignment horizontal="center" vertical="center"/>
    </xf>
    <xf numFmtId="44" fontId="23" fillId="0" borderId="10" xfId="0" applyNumberFormat="1" applyFont="1" applyFill="1" applyBorder="1" applyAlignment="1">
      <alignment horizontal="center" vertical="center" wrapText="1"/>
    </xf>
    <xf numFmtId="44" fontId="23" fillId="0" borderId="12" xfId="0" applyNumberFormat="1" applyFont="1" applyFill="1" applyBorder="1" applyAlignment="1">
      <alignment horizontal="center" vertical="center" wrapText="1"/>
    </xf>
    <xf numFmtId="44" fontId="23" fillId="0" borderId="10" xfId="1" applyFont="1" applyFill="1" applyBorder="1" applyAlignment="1">
      <alignment horizontal="center"/>
    </xf>
    <xf numFmtId="44" fontId="23" fillId="0" borderId="12" xfId="1" applyFont="1" applyFill="1" applyBorder="1" applyAlignment="1">
      <alignment horizontal="center"/>
    </xf>
    <xf numFmtId="44" fontId="1" fillId="0" borderId="10" xfId="0" applyNumberFormat="1" applyFont="1" applyFill="1" applyBorder="1" applyAlignment="1">
      <alignment horizontal="center" vertical="center"/>
    </xf>
    <xf numFmtId="44" fontId="1" fillId="0" borderId="12" xfId="0" applyNumberFormat="1" applyFont="1" applyFill="1" applyBorder="1" applyAlignment="1">
      <alignment horizontal="center" vertical="center"/>
    </xf>
    <xf numFmtId="44" fontId="2" fillId="0" borderId="10" xfId="0" applyNumberFormat="1" applyFont="1" applyFill="1" applyBorder="1" applyAlignment="1">
      <alignment horizontal="center" vertical="top" wrapText="1"/>
    </xf>
    <xf numFmtId="44" fontId="2" fillId="0" borderId="12" xfId="0" applyNumberFormat="1" applyFont="1" applyFill="1" applyBorder="1" applyAlignment="1">
      <alignment horizontal="center" vertical="top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44" fontId="1" fillId="2" borderId="10" xfId="0" applyNumberFormat="1" applyFont="1" applyFill="1" applyBorder="1" applyAlignment="1">
      <alignment horizontal="center"/>
    </xf>
    <xf numFmtId="44" fontId="1" fillId="2" borderId="12" xfId="0" applyNumberFormat="1" applyFont="1" applyFill="1" applyBorder="1" applyAlignment="1">
      <alignment horizontal="center"/>
    </xf>
    <xf numFmtId="44" fontId="1" fillId="0" borderId="10" xfId="0" applyNumberFormat="1" applyFont="1" applyFill="1" applyBorder="1" applyAlignment="1">
      <alignment horizontal="center" vertical="top" wrapText="1"/>
    </xf>
    <xf numFmtId="44" fontId="1" fillId="0" borderId="12" xfId="0" applyNumberFormat="1" applyFont="1" applyFill="1" applyBorder="1" applyAlignment="1">
      <alignment horizontal="center" vertical="top" wrapText="1"/>
    </xf>
    <xf numFmtId="44" fontId="23" fillId="0" borderId="10" xfId="1" applyFont="1" applyFill="1" applyBorder="1" applyAlignment="1">
      <alignment horizontal="center" wrapText="1"/>
    </xf>
    <xf numFmtId="44" fontId="23" fillId="0" borderId="12" xfId="1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44" fontId="1" fillId="0" borderId="10" xfId="0" applyNumberFormat="1" applyFont="1" applyBorder="1" applyAlignment="1">
      <alignment horizontal="center"/>
    </xf>
    <xf numFmtId="44" fontId="1" fillId="0" borderId="12" xfId="0" applyNumberFormat="1" applyFont="1" applyBorder="1" applyAlignment="1">
      <alignment horizontal="center"/>
    </xf>
    <xf numFmtId="0" fontId="24" fillId="0" borderId="0" xfId="2" applyFont="1" applyBorder="1" applyAlignment="1">
      <alignment horizontal="center"/>
    </xf>
    <xf numFmtId="0" fontId="24" fillId="0" borderId="2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/>
    </xf>
    <xf numFmtId="0" fontId="10" fillId="0" borderId="4" xfId="2" applyFont="1" applyBorder="1" applyAlignment="1">
      <alignment horizontal="center"/>
    </xf>
    <xf numFmtId="0" fontId="10" fillId="0" borderId="6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5" fillId="4" borderId="16" xfId="2" applyFont="1" applyFill="1" applyBorder="1" applyAlignment="1">
      <alignment horizontal="center" vertical="center" wrapText="1"/>
    </xf>
    <xf numFmtId="0" fontId="15" fillId="4" borderId="22" xfId="2" applyFont="1" applyFill="1" applyBorder="1" applyAlignment="1">
      <alignment horizontal="center" vertical="center" wrapText="1"/>
    </xf>
    <xf numFmtId="0" fontId="18" fillId="4" borderId="21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top" wrapText="1"/>
    </xf>
    <xf numFmtId="0" fontId="14" fillId="4" borderId="15" xfId="2" applyFont="1" applyFill="1" applyBorder="1" applyAlignment="1">
      <alignment horizontal="center" vertical="top" wrapText="1"/>
    </xf>
    <xf numFmtId="0" fontId="9" fillId="3" borderId="1" xfId="2" applyFill="1" applyBorder="1" applyAlignment="1">
      <alignment horizontal="left" vertical="top" wrapText="1"/>
    </xf>
    <xf numFmtId="0" fontId="17" fillId="4" borderId="17" xfId="2" applyFont="1" applyFill="1" applyBorder="1" applyAlignment="1">
      <alignment horizontal="center" vertical="center" wrapText="1"/>
    </xf>
    <xf numFmtId="0" fontId="15" fillId="4" borderId="18" xfId="2" applyFont="1" applyFill="1" applyBorder="1" applyAlignment="1">
      <alignment horizontal="center" vertical="center" wrapText="1"/>
    </xf>
    <xf numFmtId="0" fontId="15" fillId="4" borderId="20" xfId="2" applyFont="1" applyFill="1" applyBorder="1" applyAlignment="1">
      <alignment horizontal="center" vertical="center" wrapText="1"/>
    </xf>
    <xf numFmtId="0" fontId="18" fillId="4" borderId="19" xfId="2" applyFont="1" applyFill="1" applyBorder="1" applyAlignment="1">
      <alignment horizontal="center" vertical="center" wrapText="1"/>
    </xf>
    <xf numFmtId="0" fontId="18" fillId="4" borderId="23" xfId="2" applyFont="1" applyFill="1" applyBorder="1" applyAlignment="1">
      <alignment horizontal="center" vertical="center" wrapText="1"/>
    </xf>
    <xf numFmtId="0" fontId="18" fillId="4" borderId="24" xfId="2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left" vertical="top" wrapText="1"/>
    </xf>
    <xf numFmtId="0" fontId="12" fillId="3" borderId="15" xfId="2" applyFont="1" applyFill="1" applyBorder="1" applyAlignment="1">
      <alignment horizontal="left" vertical="top" wrapText="1"/>
    </xf>
    <xf numFmtId="0" fontId="9" fillId="0" borderId="10" xfId="2" applyBorder="1" applyAlignment="1">
      <alignment horizontal="left" vertical="top" wrapText="1"/>
    </xf>
    <xf numFmtId="0" fontId="9" fillId="0" borderId="11" xfId="2" applyBorder="1" applyAlignment="1">
      <alignment horizontal="left" vertical="top" wrapText="1"/>
    </xf>
    <xf numFmtId="0" fontId="9" fillId="0" borderId="12" xfId="2" applyBorder="1" applyAlignment="1">
      <alignment horizontal="left" vertical="top" wrapText="1"/>
    </xf>
    <xf numFmtId="0" fontId="14" fillId="4" borderId="13" xfId="2" applyFont="1" applyFill="1" applyBorder="1" applyAlignment="1">
      <alignment horizontal="center" vertical="top" wrapText="1"/>
    </xf>
    <xf numFmtId="0" fontId="14" fillId="4" borderId="10" xfId="2" applyFont="1" applyFill="1" applyBorder="1" applyAlignment="1">
      <alignment horizontal="center" vertical="top" wrapText="1"/>
    </xf>
    <xf numFmtId="0" fontId="14" fillId="4" borderId="4" xfId="2" applyFont="1" applyFill="1" applyBorder="1" applyAlignment="1">
      <alignment horizontal="center" vertical="top" wrapText="1"/>
    </xf>
    <xf numFmtId="0" fontId="14" fillId="4" borderId="5" xfId="2" applyFont="1" applyFill="1" applyBorder="1" applyAlignment="1">
      <alignment horizontal="center" vertical="top" wrapText="1"/>
    </xf>
    <xf numFmtId="0" fontId="9" fillId="0" borderId="6" xfId="2" applyBorder="1" applyAlignment="1">
      <alignment horizontal="left" vertical="top" wrapText="1"/>
    </xf>
    <xf numFmtId="0" fontId="9" fillId="0" borderId="0" xfId="2" applyBorder="1" applyAlignment="1">
      <alignment horizontal="left" vertical="top" wrapText="1"/>
    </xf>
    <xf numFmtId="0" fontId="9" fillId="0" borderId="7" xfId="2" applyBorder="1" applyAlignment="1">
      <alignment horizontal="left" vertical="top" wrapText="1"/>
    </xf>
    <xf numFmtId="0" fontId="9" fillId="0" borderId="6" xfId="2" applyBorder="1" applyAlignment="1">
      <alignment horizontal="center"/>
    </xf>
    <xf numFmtId="0" fontId="9" fillId="0" borderId="0" xfId="2" applyBorder="1" applyAlignment="1">
      <alignment horizontal="center"/>
    </xf>
    <xf numFmtId="0" fontId="9" fillId="0" borderId="7" xfId="2" applyBorder="1" applyAlignment="1">
      <alignment horizontal="center"/>
    </xf>
    <xf numFmtId="0" fontId="11" fillId="0" borderId="6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11" fillId="0" borderId="7" xfId="2" applyFont="1" applyBorder="1" applyAlignment="1">
      <alignment horizontal="center"/>
    </xf>
    <xf numFmtId="0" fontId="12" fillId="3" borderId="6" xfId="2" applyFont="1" applyFill="1" applyBorder="1" applyAlignment="1">
      <alignment horizontal="center" vertical="top" wrapText="1"/>
    </xf>
    <xf numFmtId="0" fontId="12" fillId="3" borderId="0" xfId="2" applyFont="1" applyFill="1" applyBorder="1" applyAlignment="1">
      <alignment horizontal="center" vertical="top" wrapText="1"/>
    </xf>
    <xf numFmtId="0" fontId="12" fillId="3" borderId="7" xfId="2" applyFont="1" applyFill="1" applyBorder="1" applyAlignment="1">
      <alignment horizontal="center" vertical="top" wrapText="1"/>
    </xf>
    <xf numFmtId="0" fontId="42" fillId="0" borderId="0" xfId="9" applyFont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0" fillId="2" borderId="1" xfId="9" applyFont="1" applyFill="1" applyBorder="1" applyAlignment="1" applyProtection="1">
      <alignment horizontal="left" vertical="center" wrapText="1"/>
    </xf>
    <xf numFmtId="10" fontId="31" fillId="0" borderId="10" xfId="8" applyNumberFormat="1" applyFont="1" applyBorder="1" applyAlignment="1" applyProtection="1">
      <alignment horizontal="center" vertical="center" wrapText="1"/>
      <protection hidden="1"/>
    </xf>
    <xf numFmtId="10" fontId="31" fillId="0" borderId="11" xfId="8" applyNumberFormat="1" applyFont="1" applyBorder="1" applyAlignment="1" applyProtection="1">
      <alignment horizontal="center" vertical="center" wrapText="1"/>
      <protection hidden="1"/>
    </xf>
    <xf numFmtId="10" fontId="31" fillId="0" borderId="12" xfId="8" applyNumberFormat="1" applyFont="1" applyBorder="1" applyAlignment="1" applyProtection="1">
      <alignment horizontal="center" vertical="center" wrapText="1"/>
      <protection hidden="1"/>
    </xf>
    <xf numFmtId="0" fontId="40" fillId="0" borderId="0" xfId="9" applyFont="1" applyBorder="1" applyAlignment="1" applyProtection="1">
      <alignment horizontal="left" vertical="center" wrapText="1"/>
    </xf>
    <xf numFmtId="0" fontId="25" fillId="0" borderId="0" xfId="9" applyBorder="1" applyAlignment="1" applyProtection="1">
      <alignment horizontal="left" vertical="center"/>
    </xf>
    <xf numFmtId="0" fontId="8" fillId="0" borderId="0" xfId="9" applyFont="1" applyBorder="1" applyAlignment="1" applyProtection="1">
      <alignment horizontal="left" vertical="center" wrapText="1"/>
      <protection locked="0"/>
    </xf>
    <xf numFmtId="0" fontId="30" fillId="2" borderId="1" xfId="9" applyFont="1" applyFill="1" applyBorder="1" applyAlignment="1" applyProtection="1">
      <alignment horizontal="left" vertical="center"/>
    </xf>
    <xf numFmtId="43" fontId="31" fillId="0" borderId="26" xfId="7" applyFont="1" applyBorder="1" applyAlignment="1" applyProtection="1">
      <alignment horizontal="center" vertical="center" wrapText="1"/>
      <protection locked="0"/>
    </xf>
    <xf numFmtId="43" fontId="31" fillId="0" borderId="31" xfId="7" applyFont="1" applyBorder="1" applyAlignment="1" applyProtection="1">
      <alignment horizontal="center" vertical="center" wrapText="1"/>
      <protection locked="0"/>
    </xf>
    <xf numFmtId="44" fontId="31" fillId="0" borderId="10" xfId="1" applyFont="1" applyBorder="1" applyAlignment="1" applyProtection="1">
      <alignment horizontal="center" vertical="center" wrapText="1"/>
      <protection locked="0"/>
    </xf>
    <xf numFmtId="44" fontId="31" fillId="0" borderId="11" xfId="1" applyFont="1" applyBorder="1" applyAlignment="1" applyProtection="1">
      <alignment horizontal="center" vertical="center" wrapText="1"/>
      <protection locked="0"/>
    </xf>
    <xf numFmtId="44" fontId="31" fillId="0" borderId="12" xfId="1" applyFont="1" applyBorder="1" applyAlignment="1" applyProtection="1">
      <alignment horizontal="center" vertical="center" wrapText="1"/>
      <protection locked="0"/>
    </xf>
    <xf numFmtId="44" fontId="31" fillId="0" borderId="10" xfId="1" applyFont="1" applyBorder="1" applyAlignment="1" applyProtection="1">
      <alignment horizontal="center" vertical="center" wrapText="1"/>
      <protection hidden="1"/>
    </xf>
    <xf numFmtId="44" fontId="31" fillId="0" borderId="11" xfId="1" applyFont="1" applyBorder="1" applyAlignment="1" applyProtection="1">
      <alignment horizontal="center" vertical="center" wrapText="1"/>
      <protection hidden="1"/>
    </xf>
    <xf numFmtId="44" fontId="31" fillId="0" borderId="12" xfId="1" applyFont="1" applyBorder="1" applyAlignment="1" applyProtection="1">
      <alignment horizontal="center" vertical="center" wrapText="1"/>
      <protection hidden="1"/>
    </xf>
    <xf numFmtId="4" fontId="30" fillId="1" borderId="10" xfId="9" applyNumberFormat="1" applyFont="1" applyFill="1" applyBorder="1" applyAlignment="1" applyProtection="1">
      <alignment horizontal="center" vertical="center"/>
    </xf>
    <xf numFmtId="4" fontId="30" fillId="1" borderId="11" xfId="9" applyNumberFormat="1" applyFont="1" applyFill="1" applyBorder="1" applyAlignment="1" applyProtection="1">
      <alignment horizontal="center" vertical="center"/>
    </xf>
    <xf numFmtId="4" fontId="30" fillId="1" borderId="12" xfId="9" applyNumberFormat="1" applyFont="1" applyFill="1" applyBorder="1" applyAlignment="1" applyProtection="1">
      <alignment horizontal="center" vertical="center"/>
    </xf>
    <xf numFmtId="0" fontId="30" fillId="0" borderId="13" xfId="9" applyFont="1" applyBorder="1" applyAlignment="1" applyProtection="1">
      <alignment horizontal="center" vertical="center"/>
    </xf>
    <xf numFmtId="0" fontId="30" fillId="0" borderId="15" xfId="9" applyFont="1" applyBorder="1" applyAlignment="1" applyProtection="1">
      <alignment horizontal="center" vertical="center"/>
    </xf>
    <xf numFmtId="0" fontId="30" fillId="0" borderId="3" xfId="9" applyFont="1" applyBorder="1" applyAlignment="1" applyProtection="1">
      <alignment horizontal="left" vertical="center" wrapText="1"/>
      <protection locked="0"/>
    </xf>
    <xf numFmtId="0" fontId="30" fillId="0" borderId="5" xfId="9" applyFont="1" applyBorder="1" applyAlignment="1" applyProtection="1">
      <alignment horizontal="left" vertical="center" wrapText="1"/>
      <protection locked="0"/>
    </xf>
    <xf numFmtId="0" fontId="30" fillId="0" borderId="8" xfId="9" applyFont="1" applyBorder="1" applyAlignment="1" applyProtection="1">
      <alignment horizontal="left" vertical="center" wrapText="1"/>
      <protection locked="0"/>
    </xf>
    <xf numFmtId="0" fontId="30" fillId="0" borderId="9" xfId="9" applyFont="1" applyBorder="1" applyAlignment="1" applyProtection="1">
      <alignment horizontal="left" vertical="center" wrapText="1"/>
      <protection locked="0"/>
    </xf>
    <xf numFmtId="10" fontId="31" fillId="0" borderId="30" xfId="8" applyNumberFormat="1" applyFont="1" applyFill="1" applyBorder="1" applyAlignment="1" applyProtection="1">
      <alignment horizontal="center" vertical="center" wrapText="1"/>
      <protection hidden="1"/>
    </xf>
    <xf numFmtId="10" fontId="31" fillId="0" borderId="29" xfId="8" applyNumberFormat="1" applyFont="1" applyFill="1" applyBorder="1" applyAlignment="1" applyProtection="1">
      <alignment horizontal="center" vertical="center" wrapText="1"/>
      <protection hidden="1"/>
    </xf>
    <xf numFmtId="10" fontId="31" fillId="0" borderId="30" xfId="8" applyNumberFormat="1" applyFont="1" applyBorder="1" applyAlignment="1" applyProtection="1">
      <alignment horizontal="center" vertical="center" wrapText="1"/>
      <protection hidden="1"/>
    </xf>
    <xf numFmtId="10" fontId="31" fillId="0" borderId="29" xfId="8" applyNumberFormat="1" applyFont="1" applyBorder="1" applyAlignment="1" applyProtection="1">
      <alignment horizontal="center" vertical="center" wrapText="1"/>
      <protection hidden="1"/>
    </xf>
    <xf numFmtId="43" fontId="31" fillId="0" borderId="32" xfId="7" applyFont="1" applyBorder="1" applyAlignment="1" applyProtection="1">
      <alignment horizontal="center" vertical="center" wrapText="1"/>
      <protection locked="0"/>
    </xf>
    <xf numFmtId="0" fontId="30" fillId="2" borderId="13" xfId="9" applyFont="1" applyFill="1" applyBorder="1" applyAlignment="1" applyProtection="1">
      <alignment horizontal="center" vertical="center" textRotation="90"/>
    </xf>
    <xf numFmtId="0" fontId="30" fillId="2" borderId="14" xfId="9" applyFont="1" applyFill="1" applyBorder="1" applyAlignment="1" applyProtection="1">
      <alignment horizontal="center" vertical="center" textRotation="90"/>
    </xf>
    <xf numFmtId="0" fontId="30" fillId="2" borderId="3" xfId="9" applyFont="1" applyFill="1" applyBorder="1" applyAlignment="1" applyProtection="1">
      <alignment horizontal="center" vertical="center"/>
    </xf>
    <xf numFmtId="0" fontId="30" fillId="2" borderId="5" xfId="9" applyFont="1" applyFill="1" applyBorder="1" applyAlignment="1" applyProtection="1">
      <alignment horizontal="center" vertical="center"/>
    </xf>
    <xf numFmtId="0" fontId="30" fillId="2" borderId="6" xfId="9" applyFont="1" applyFill="1" applyBorder="1" applyAlignment="1" applyProtection="1">
      <alignment horizontal="center" vertical="center"/>
    </xf>
    <xf numFmtId="0" fontId="30" fillId="2" borderId="7" xfId="9" applyFont="1" applyFill="1" applyBorder="1" applyAlignment="1" applyProtection="1">
      <alignment horizontal="center" vertical="center"/>
    </xf>
    <xf numFmtId="0" fontId="34" fillId="0" borderId="6" xfId="5" applyFont="1" applyBorder="1" applyAlignment="1" applyProtection="1">
      <alignment horizontal="left" vertical="center" wrapText="1" indent="1"/>
    </xf>
    <xf numFmtId="0" fontId="34" fillId="0" borderId="0" xfId="5" applyFont="1" applyBorder="1" applyAlignment="1" applyProtection="1">
      <alignment horizontal="left" vertical="center" wrapText="1" indent="1"/>
    </xf>
    <xf numFmtId="49" fontId="31" fillId="0" borderId="1" xfId="9" applyNumberFormat="1" applyFont="1" applyBorder="1" applyAlignment="1" applyProtection="1">
      <alignment horizontal="left" vertical="center" wrapText="1" indent="1"/>
      <protection locked="0"/>
    </xf>
    <xf numFmtId="0" fontId="36" fillId="2" borderId="1" xfId="9" applyFont="1" applyFill="1" applyBorder="1" applyAlignment="1" applyProtection="1">
      <alignment horizontal="center" vertical="center" textRotation="90" wrapText="1"/>
    </xf>
    <xf numFmtId="0" fontId="30" fillId="0" borderId="1" xfId="9" applyFont="1" applyBorder="1" applyAlignment="1" applyProtection="1">
      <alignment horizontal="center" vertical="center" wrapText="1"/>
    </xf>
    <xf numFmtId="0" fontId="30" fillId="0" borderId="10" xfId="9" applyFont="1" applyBorder="1" applyAlignment="1" applyProtection="1">
      <alignment horizontal="center" vertical="center" wrapText="1"/>
    </xf>
    <xf numFmtId="0" fontId="31" fillId="0" borderId="11" xfId="9" applyFont="1" applyBorder="1" applyAlignment="1" applyProtection="1">
      <alignment horizontal="left" vertical="center" wrapText="1" indent="1"/>
    </xf>
    <xf numFmtId="0" fontId="31" fillId="0" borderId="12" xfId="9" applyFont="1" applyBorder="1" applyAlignment="1" applyProtection="1">
      <alignment horizontal="left" vertical="center" wrapText="1" indent="1"/>
    </xf>
    <xf numFmtId="49" fontId="31" fillId="0" borderId="1" xfId="9" applyNumberFormat="1" applyFont="1" applyBorder="1" applyAlignment="1" applyProtection="1">
      <alignment horizontal="left" vertical="center" wrapText="1"/>
      <protection locked="0"/>
    </xf>
    <xf numFmtId="0" fontId="30" fillId="0" borderId="10" xfId="5" applyFont="1" applyBorder="1" applyAlignment="1" applyProtection="1">
      <alignment horizontal="right" vertical="center" wrapText="1"/>
    </xf>
    <xf numFmtId="0" fontId="30" fillId="0" borderId="11" xfId="5" applyFont="1" applyBorder="1" applyAlignment="1" applyProtection="1">
      <alignment horizontal="right" vertical="center" wrapText="1"/>
    </xf>
    <xf numFmtId="0" fontId="30" fillId="0" borderId="11" xfId="5" applyFont="1" applyBorder="1" applyAlignment="1" applyProtection="1">
      <alignment horizontal="left" vertical="center" wrapText="1" indent="1"/>
    </xf>
    <xf numFmtId="0" fontId="30" fillId="0" borderId="12" xfId="5" applyFont="1" applyBorder="1" applyAlignment="1" applyProtection="1">
      <alignment horizontal="left" vertical="center" wrapText="1" indent="1"/>
    </xf>
    <xf numFmtId="0" fontId="31" fillId="0" borderId="11" xfId="9" applyFont="1" applyBorder="1" applyAlignment="1" applyProtection="1">
      <alignment horizontal="left" vertical="center" wrapText="1" indent="1"/>
      <protection hidden="1"/>
    </xf>
    <xf numFmtId="0" fontId="31" fillId="0" borderId="12" xfId="9" applyFont="1" applyBorder="1" applyAlignment="1" applyProtection="1">
      <alignment horizontal="left" vertical="center" wrapText="1" indent="1"/>
      <protection hidden="1"/>
    </xf>
    <xf numFmtId="0" fontId="30" fillId="2" borderId="1" xfId="9" applyFont="1" applyFill="1" applyBorder="1" applyAlignment="1" applyProtection="1">
      <alignment horizontal="center" vertical="center"/>
    </xf>
    <xf numFmtId="0" fontId="30" fillId="2" borderId="11" xfId="9" applyFont="1" applyFill="1" applyBorder="1" applyAlignment="1" applyProtection="1">
      <alignment horizontal="center" vertical="center"/>
    </xf>
    <xf numFmtId="0" fontId="30" fillId="2" borderId="12" xfId="9" applyFont="1" applyFill="1" applyBorder="1" applyAlignment="1" applyProtection="1">
      <alignment horizontal="center" vertical="center"/>
    </xf>
    <xf numFmtId="4" fontId="30" fillId="2" borderId="13" xfId="9" applyNumberFormat="1" applyFont="1" applyFill="1" applyBorder="1" applyAlignment="1" applyProtection="1">
      <alignment horizontal="center" vertical="center"/>
    </xf>
    <xf numFmtId="4" fontId="30" fillId="2" borderId="14" xfId="9" applyNumberFormat="1" applyFont="1" applyFill="1" applyBorder="1" applyAlignment="1" applyProtection="1">
      <alignment horizontal="center" vertical="center"/>
    </xf>
    <xf numFmtId="0" fontId="38" fillId="0" borderId="11" xfId="9" applyFont="1" applyBorder="1" applyAlignment="1" applyProtection="1">
      <alignment horizontal="center" vertical="center" wrapText="1"/>
    </xf>
    <xf numFmtId="0" fontId="38" fillId="0" borderId="12" xfId="9" applyFont="1" applyBorder="1" applyAlignment="1" applyProtection="1">
      <alignment horizontal="center" vertical="center" wrapText="1"/>
    </xf>
    <xf numFmtId="0" fontId="34" fillId="0" borderId="8" xfId="5" applyFont="1" applyBorder="1" applyAlignment="1" applyProtection="1">
      <alignment horizontal="left" vertical="center" wrapText="1" indent="1"/>
    </xf>
    <xf numFmtId="0" fontId="34" fillId="0" borderId="2" xfId="5" applyFont="1" applyBorder="1" applyAlignment="1" applyProtection="1">
      <alignment horizontal="left" vertical="center" wrapText="1" indent="1"/>
    </xf>
    <xf numFmtId="0" fontId="27" fillId="0" borderId="0" xfId="9" applyFont="1" applyBorder="1" applyAlignment="1" applyProtection="1">
      <alignment horizontal="center" vertical="center" wrapText="1"/>
      <protection locked="0"/>
    </xf>
    <xf numFmtId="0" fontId="28" fillId="0" borderId="0" xfId="9" applyFont="1" applyBorder="1" applyAlignment="1" applyProtection="1">
      <alignment horizontal="center" vertical="center"/>
    </xf>
    <xf numFmtId="0" fontId="28" fillId="0" borderId="0" xfId="9" applyFont="1" applyAlignment="1" applyProtection="1">
      <alignment horizontal="center" vertical="center"/>
    </xf>
    <xf numFmtId="0" fontId="30" fillId="0" borderId="0" xfId="9" applyFont="1" applyBorder="1" applyAlignment="1" applyProtection="1">
      <alignment horizontal="center" vertical="center"/>
    </xf>
    <xf numFmtId="49" fontId="32" fillId="0" borderId="1" xfId="9" applyNumberFormat="1" applyFont="1" applyBorder="1" applyAlignment="1" applyProtection="1">
      <alignment horizontal="left" vertical="center" wrapText="1" indent="1"/>
      <protection locked="0"/>
    </xf>
    <xf numFmtId="0" fontId="30" fillId="2" borderId="1" xfId="9" applyFont="1" applyFill="1" applyBorder="1" applyAlignment="1" applyProtection="1">
      <alignment horizontal="center" vertical="center" wrapText="1"/>
    </xf>
    <xf numFmtId="49" fontId="34" fillId="0" borderId="1" xfId="9" applyNumberFormat="1" applyFont="1" applyBorder="1" applyAlignment="1" applyProtection="1">
      <alignment horizontal="left" vertical="center" wrapText="1" indent="1"/>
      <protection locked="0"/>
    </xf>
    <xf numFmtId="0" fontId="30" fillId="0" borderId="1" xfId="9" applyFont="1" applyBorder="1" applyAlignment="1" applyProtection="1">
      <alignment horizontal="center" vertical="center" wrapText="1"/>
      <protection locked="0"/>
    </xf>
    <xf numFmtId="0" fontId="31" fillId="0" borderId="1" xfId="9" applyFont="1" applyBorder="1" applyAlignment="1" applyProtection="1">
      <alignment horizontal="center" vertical="center" wrapText="1"/>
      <protection locked="0"/>
    </xf>
  </cellXfs>
  <cellStyles count="11">
    <cellStyle name="Excel Built-in Explanatory Text" xfId="4"/>
    <cellStyle name="Moeda" xfId="1" builtinId="4"/>
    <cellStyle name="Moeda 2" xfId="6"/>
    <cellStyle name="Moeda 2 2" xfId="10"/>
    <cellStyle name="Normal" xfId="0" builtinId="0"/>
    <cellStyle name="Normal 2" xfId="2"/>
    <cellStyle name="Normal 2 2" xfId="9"/>
    <cellStyle name="Normal 3" xfId="5"/>
    <cellStyle name="Porcentagem" xfId="8" builtinId="5"/>
    <cellStyle name="Porcentagem 2" xfId="3"/>
    <cellStyle name="Separador de milhares" xfId="7" builtinId="3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/>
        <i val="0"/>
        <color rgb="FF7030A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82025" y="82602"/>
          <a:ext cx="681318" cy="10603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3030711</xdr:colOff>
      <xdr:row>0</xdr:row>
      <xdr:rowOff>82602</xdr:rowOff>
    </xdr:from>
    <xdr:ext cx="681318" cy="1033183"/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07186" y="82602"/>
          <a:ext cx="681318" cy="1033183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149571</xdr:colOff>
      <xdr:row>0</xdr:row>
      <xdr:rowOff>94012</xdr:rowOff>
    </xdr:from>
    <xdr:to>
      <xdr:col>8</xdr:col>
      <xdr:colOff>758646</xdr:colOff>
      <xdr:row>5</xdr:row>
      <xdr:rowOff>159303</xdr:rowOff>
    </xdr:to>
    <xdr:pic>
      <xdr:nvPicPr>
        <xdr:cNvPr id="2" name="Figura1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7851214" y="94012"/>
          <a:ext cx="609075" cy="881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68035</xdr:rowOff>
    </xdr:from>
    <xdr:to>
      <xdr:col>17</xdr:col>
      <xdr:colOff>1357993</xdr:colOff>
      <xdr:row>42</xdr:row>
      <xdr:rowOff>70755</xdr:rowOff>
    </xdr:to>
    <xdr:sp macro="" textlink="">
      <xdr:nvSpPr>
        <xdr:cNvPr id="2" name="CaixaDeTexto 1"/>
        <xdr:cNvSpPr txBox="1"/>
      </xdr:nvSpPr>
      <xdr:spPr>
        <a:xfrm>
          <a:off x="0" y="15279460"/>
          <a:ext cx="10016218" cy="186009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/>
            <a:t>OBSERVAÇÃO CONFORME: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Decreto n.º 66.173 de 27/10/2021 _ "a liberação dos recursos, considerando o valor total destes, observará o seguinte: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até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reais), em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parcela única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R$1.000.000,00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(um milhão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 (duas) parcelas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igualmente divididas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R$ 1.000.000,00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(hum milhão de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R$ 5.000.000,00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3 (três) parcelas,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acima de R$ 5.000.000,00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parcelas sucessivas, conforme estipular o respectivo instrumento,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/>
            <a:t/>
          </a:r>
          <a:br>
            <a:rPr lang="pt-BR"/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166688</xdr:colOff>
      <xdr:row>0</xdr:row>
      <xdr:rowOff>31750</xdr:rowOff>
    </xdr:from>
    <xdr:to>
      <xdr:col>1</xdr:col>
      <xdr:colOff>682626</xdr:colOff>
      <xdr:row>5</xdr:row>
      <xdr:rowOff>13995</xdr:rowOff>
    </xdr:to>
    <xdr:pic>
      <xdr:nvPicPr>
        <xdr:cNvPr id="3" name="Imagem 2" descr="brasão oficial pp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6688" y="31750"/>
          <a:ext cx="928688" cy="12284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46"/>
  <sheetViews>
    <sheetView tabSelected="1" view="pageBreakPreview" topLeftCell="A121" zoomScale="85" zoomScaleNormal="150" zoomScaleSheetLayoutView="85" workbookViewId="0">
      <selection activeCell="G149" sqref="G149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7" bestFit="1" customWidth="1"/>
    <col min="8" max="8" width="22.85546875" bestFit="1" customWidth="1"/>
    <col min="9" max="9" width="20.28515625" customWidth="1"/>
    <col min="10" max="10" width="12.7109375" bestFit="1" customWidth="1"/>
    <col min="11" max="11" width="13.5703125" bestFit="1" customWidth="1"/>
    <col min="12" max="12" width="17.85546875" customWidth="1"/>
    <col min="13" max="13" width="13.7109375" bestFit="1" customWidth="1"/>
    <col min="17" max="17" width="15" bestFit="1" customWidth="1"/>
  </cols>
  <sheetData>
    <row r="1" spans="1:9" ht="15" customHeight="1">
      <c r="A1" s="256" t="s">
        <v>27</v>
      </c>
      <c r="B1" s="257"/>
      <c r="C1" s="257"/>
      <c r="D1" s="257"/>
      <c r="E1" s="257"/>
      <c r="F1" s="257"/>
      <c r="G1" s="257"/>
      <c r="H1" s="258"/>
    </row>
    <row r="2" spans="1:9" ht="15" customHeight="1">
      <c r="A2" s="259"/>
      <c r="B2" s="260"/>
      <c r="C2" s="260"/>
      <c r="D2" s="260"/>
      <c r="E2" s="260"/>
      <c r="F2" s="260"/>
      <c r="G2" s="260"/>
      <c r="H2" s="261"/>
    </row>
    <row r="3" spans="1:9" ht="15" customHeight="1">
      <c r="A3" s="259"/>
      <c r="B3" s="260"/>
      <c r="C3" s="260"/>
      <c r="D3" s="260"/>
      <c r="E3" s="260"/>
      <c r="F3" s="260"/>
      <c r="G3" s="260"/>
      <c r="H3" s="261"/>
    </row>
    <row r="4" spans="1:9" ht="15" customHeight="1">
      <c r="A4" s="259"/>
      <c r="B4" s="260"/>
      <c r="C4" s="260"/>
      <c r="D4" s="260"/>
      <c r="E4" s="260"/>
      <c r="F4" s="260"/>
      <c r="G4" s="260"/>
      <c r="H4" s="261"/>
    </row>
    <row r="5" spans="1:9" ht="15" customHeight="1">
      <c r="A5" s="259"/>
      <c r="B5" s="260"/>
      <c r="C5" s="260"/>
      <c r="D5" s="260"/>
      <c r="E5" s="260"/>
      <c r="F5" s="260"/>
      <c r="G5" s="260"/>
      <c r="H5" s="261"/>
    </row>
    <row r="6" spans="1:9" ht="15" customHeight="1">
      <c r="A6" s="259"/>
      <c r="B6" s="260"/>
      <c r="C6" s="260"/>
      <c r="D6" s="260"/>
      <c r="E6" s="260"/>
      <c r="F6" s="260"/>
      <c r="G6" s="260"/>
      <c r="H6" s="261"/>
    </row>
    <row r="7" spans="1:9" ht="8.25" customHeight="1">
      <c r="A7" s="259"/>
      <c r="B7" s="260"/>
      <c r="C7" s="260"/>
      <c r="D7" s="260"/>
      <c r="E7" s="260"/>
      <c r="F7" s="260"/>
      <c r="G7" s="260"/>
      <c r="H7" s="261"/>
    </row>
    <row r="8" spans="1:9" ht="6.75" customHeight="1">
      <c r="A8" s="259"/>
      <c r="B8" s="260"/>
      <c r="C8" s="260"/>
      <c r="D8" s="260"/>
      <c r="E8" s="260"/>
      <c r="F8" s="260"/>
      <c r="G8" s="260"/>
      <c r="H8" s="261"/>
    </row>
    <row r="9" spans="1:9" ht="15" customHeight="1">
      <c r="A9" s="265"/>
      <c r="B9" s="266"/>
      <c r="C9" s="266"/>
      <c r="D9" s="266"/>
      <c r="E9" s="266"/>
      <c r="F9" s="266"/>
      <c r="G9" s="266"/>
      <c r="H9" s="267"/>
    </row>
    <row r="10" spans="1:9" ht="15" customHeight="1">
      <c r="A10" s="272" t="s">
        <v>8</v>
      </c>
      <c r="B10" s="273"/>
      <c r="C10" s="273"/>
      <c r="D10" s="273"/>
      <c r="E10" s="273"/>
      <c r="F10" s="273"/>
      <c r="G10" s="273"/>
      <c r="H10" s="274"/>
    </row>
    <row r="11" spans="1:9" ht="15" customHeight="1">
      <c r="A11" s="2"/>
      <c r="B11" s="270" t="s">
        <v>526</v>
      </c>
      <c r="C11" s="270"/>
      <c r="D11" s="270"/>
      <c r="E11" s="270"/>
      <c r="F11" s="270"/>
      <c r="G11" s="270"/>
      <c r="H11" s="271"/>
    </row>
    <row r="12" spans="1:9" ht="15" customHeight="1">
      <c r="A12" s="2"/>
      <c r="B12" s="270" t="s">
        <v>98</v>
      </c>
      <c r="C12" s="270"/>
      <c r="D12" s="270"/>
      <c r="E12" s="270"/>
      <c r="F12" s="270"/>
      <c r="G12" s="270"/>
      <c r="H12" s="271"/>
    </row>
    <row r="13" spans="1:9" ht="15" customHeight="1">
      <c r="A13" s="3"/>
      <c r="B13" s="4" t="s">
        <v>55</v>
      </c>
      <c r="C13" s="4"/>
      <c r="D13" s="4"/>
      <c r="E13" s="268" t="s">
        <v>56</v>
      </c>
      <c r="F13" s="268"/>
      <c r="G13" s="268"/>
      <c r="H13" s="269"/>
    </row>
    <row r="14" spans="1:9" ht="25.5">
      <c r="A14" s="6" t="s">
        <v>0</v>
      </c>
      <c r="B14" s="7" t="s">
        <v>1</v>
      </c>
      <c r="C14" s="7" t="s">
        <v>2</v>
      </c>
      <c r="D14" s="6" t="s">
        <v>3</v>
      </c>
      <c r="E14" s="6" t="s">
        <v>4</v>
      </c>
      <c r="F14" s="6" t="s">
        <v>5</v>
      </c>
      <c r="G14" s="7" t="s">
        <v>6</v>
      </c>
      <c r="H14" s="7" t="s">
        <v>7</v>
      </c>
    </row>
    <row r="15" spans="1:9" ht="3.75" customHeight="1">
      <c r="A15" s="1"/>
      <c r="B15" s="1"/>
      <c r="C15" s="1"/>
      <c r="D15" s="1"/>
      <c r="E15" s="1"/>
      <c r="F15" s="1"/>
      <c r="G15" s="1"/>
      <c r="H15" s="1"/>
    </row>
    <row r="16" spans="1:9">
      <c r="A16" s="24"/>
      <c r="B16" s="1"/>
      <c r="C16" s="1"/>
      <c r="D16" s="1"/>
      <c r="E16" s="1"/>
      <c r="F16" s="1"/>
      <c r="G16" s="30"/>
      <c r="H16" s="30"/>
      <c r="I16" s="10"/>
    </row>
    <row r="17" spans="1:9">
      <c r="A17" s="54">
        <v>1</v>
      </c>
      <c r="B17" s="5"/>
      <c r="C17" s="5"/>
      <c r="D17" s="5" t="s">
        <v>138</v>
      </c>
      <c r="E17" s="55"/>
      <c r="F17" s="55"/>
      <c r="G17" s="29"/>
      <c r="H17" s="29"/>
      <c r="I17" s="8"/>
    </row>
    <row r="18" spans="1:9" s="27" customFormat="1" ht="17.25" customHeight="1">
      <c r="A18" s="15" t="s">
        <v>9</v>
      </c>
      <c r="B18" s="195" t="s">
        <v>57</v>
      </c>
      <c r="C18" s="195" t="s">
        <v>134</v>
      </c>
      <c r="D18" s="196" t="s">
        <v>135</v>
      </c>
      <c r="E18" s="197" t="s">
        <v>12</v>
      </c>
      <c r="F18" s="198">
        <v>6</v>
      </c>
      <c r="G18" s="100"/>
      <c r="H18" s="31"/>
      <c r="I18" s="26"/>
    </row>
    <row r="19" spans="1:9" s="27" customFormat="1" ht="30" customHeight="1">
      <c r="A19" s="15" t="s">
        <v>22</v>
      </c>
      <c r="B19" s="195" t="s">
        <v>57</v>
      </c>
      <c r="C19" s="195" t="s">
        <v>29</v>
      </c>
      <c r="D19" s="199" t="s">
        <v>28</v>
      </c>
      <c r="E19" s="195" t="s">
        <v>12</v>
      </c>
      <c r="F19" s="200">
        <v>2714.06</v>
      </c>
      <c r="G19" s="38"/>
      <c r="H19" s="31"/>
      <c r="I19" s="26"/>
    </row>
    <row r="20" spans="1:9" s="27" customFormat="1" ht="30" customHeight="1">
      <c r="A20" s="15" t="s">
        <v>30</v>
      </c>
      <c r="B20" s="195" t="s">
        <v>57</v>
      </c>
      <c r="C20" s="195" t="s">
        <v>360</v>
      </c>
      <c r="D20" s="199" t="s">
        <v>359</v>
      </c>
      <c r="E20" s="195" t="s">
        <v>14</v>
      </c>
      <c r="F20" s="200">
        <f>41.71+100</f>
        <v>141.71</v>
      </c>
      <c r="G20" s="38"/>
      <c r="H20" s="31"/>
      <c r="I20" s="26"/>
    </row>
    <row r="21" spans="1:9" s="27" customFormat="1" ht="35.25" customHeight="1">
      <c r="A21" s="15" t="s">
        <v>31</v>
      </c>
      <c r="B21" s="195" t="s">
        <v>57</v>
      </c>
      <c r="C21" s="195" t="s">
        <v>212</v>
      </c>
      <c r="D21" s="199" t="s">
        <v>287</v>
      </c>
      <c r="E21" s="195" t="s">
        <v>12</v>
      </c>
      <c r="F21" s="200">
        <v>183.25</v>
      </c>
      <c r="G21" s="38"/>
      <c r="H21" s="31"/>
      <c r="I21" s="26"/>
    </row>
    <row r="22" spans="1:9" s="27" customFormat="1" ht="53.25" customHeight="1">
      <c r="A22" s="15" t="s">
        <v>32</v>
      </c>
      <c r="B22" s="195" t="s">
        <v>57</v>
      </c>
      <c r="C22" s="195" t="s">
        <v>365</v>
      </c>
      <c r="D22" s="201" t="s">
        <v>366</v>
      </c>
      <c r="E22" s="195" t="s">
        <v>12</v>
      </c>
      <c r="F22" s="200">
        <f>1277.2</f>
        <v>1277.2</v>
      </c>
      <c r="G22" s="38"/>
      <c r="H22" s="31"/>
      <c r="I22" s="26"/>
    </row>
    <row r="23" spans="1:9" s="27" customFormat="1" ht="21" customHeight="1">
      <c r="A23" s="15" t="s">
        <v>211</v>
      </c>
      <c r="B23" s="195" t="s">
        <v>57</v>
      </c>
      <c r="C23" s="195" t="s">
        <v>225</v>
      </c>
      <c r="D23" s="201" t="s">
        <v>224</v>
      </c>
      <c r="E23" s="195" t="s">
        <v>227</v>
      </c>
      <c r="F23" s="200">
        <v>12</v>
      </c>
      <c r="G23" s="38"/>
      <c r="H23" s="31"/>
      <c r="I23" s="26"/>
    </row>
    <row r="24" spans="1:9" s="27" customFormat="1" ht="50.25" customHeight="1">
      <c r="A24" s="15" t="s">
        <v>221</v>
      </c>
      <c r="B24" s="195" t="s">
        <v>57</v>
      </c>
      <c r="C24" s="195" t="s">
        <v>242</v>
      </c>
      <c r="D24" s="201" t="s">
        <v>378</v>
      </c>
      <c r="E24" s="195" t="s">
        <v>13</v>
      </c>
      <c r="F24" s="200">
        <f>(183.25*0.06)+(65.7*0.45*0.02)+2.89+(0.3*0.02*22.61)+((71.02*2)/2)+((9.23+20.83+20.46+9.23)*0.5*0.02)</f>
        <v>86.229459999999989</v>
      </c>
      <c r="G24" s="38"/>
      <c r="H24" s="31"/>
      <c r="I24" s="26"/>
    </row>
    <row r="25" spans="1:9" s="27" customFormat="1" ht="33" customHeight="1">
      <c r="A25" s="15" t="s">
        <v>226</v>
      </c>
      <c r="B25" s="195" t="s">
        <v>57</v>
      </c>
      <c r="C25" s="195" t="s">
        <v>311</v>
      </c>
      <c r="D25" s="201" t="s">
        <v>367</v>
      </c>
      <c r="E25" s="195" t="s">
        <v>13</v>
      </c>
      <c r="F25" s="200">
        <f>(0.9*2.2*2)+(12.65*0.4*8)</f>
        <v>44.440000000000005</v>
      </c>
      <c r="G25" s="38"/>
      <c r="H25" s="31"/>
      <c r="I25" s="26"/>
    </row>
    <row r="26" spans="1:9" s="27" customFormat="1" ht="30.75" customHeight="1">
      <c r="A26" s="15" t="s">
        <v>241</v>
      </c>
      <c r="B26" s="195" t="s">
        <v>57</v>
      </c>
      <c r="C26" s="195" t="s">
        <v>308</v>
      </c>
      <c r="D26" s="201" t="s">
        <v>310</v>
      </c>
      <c r="E26" s="195" t="s">
        <v>12</v>
      </c>
      <c r="F26" s="200">
        <f>((2.87+2.87+16.87)*0.3)+(65.7*0.45)+((9.23+20.83+20.46+9.23)*0.5)</f>
        <v>66.222999999999999</v>
      </c>
      <c r="G26" s="38"/>
      <c r="H26" s="31"/>
      <c r="I26" s="26"/>
    </row>
    <row r="27" spans="1:9" s="27" customFormat="1" ht="30.75" customHeight="1">
      <c r="A27" s="15" t="s">
        <v>286</v>
      </c>
      <c r="B27" s="195" t="s">
        <v>57</v>
      </c>
      <c r="C27" s="195" t="s">
        <v>345</v>
      </c>
      <c r="D27" s="201" t="s">
        <v>404</v>
      </c>
      <c r="E27" s="195" t="s">
        <v>12</v>
      </c>
      <c r="F27" s="200">
        <f>(0.8*2.1)*2</f>
        <v>3.3600000000000003</v>
      </c>
      <c r="G27" s="38"/>
      <c r="H27" s="31"/>
      <c r="I27" s="26"/>
    </row>
    <row r="28" spans="1:9" s="27" customFormat="1" ht="30.75" customHeight="1">
      <c r="A28" s="15" t="s">
        <v>309</v>
      </c>
      <c r="B28" s="214" t="s">
        <v>57</v>
      </c>
      <c r="C28" s="213" t="s">
        <v>362</v>
      </c>
      <c r="D28" s="215" t="s">
        <v>361</v>
      </c>
      <c r="E28" s="195" t="s">
        <v>13</v>
      </c>
      <c r="F28" s="200">
        <f>93.87*0.12</f>
        <v>11.2644</v>
      </c>
      <c r="G28" s="38"/>
      <c r="H28" s="31"/>
      <c r="I28" s="26"/>
    </row>
    <row r="29" spans="1:9" s="27" customFormat="1" ht="30.75" customHeight="1">
      <c r="A29" s="15" t="s">
        <v>370</v>
      </c>
      <c r="B29" s="195" t="s">
        <v>57</v>
      </c>
      <c r="C29" s="195" t="s">
        <v>364</v>
      </c>
      <c r="D29" s="199" t="s">
        <v>363</v>
      </c>
      <c r="E29" s="195" t="s">
        <v>13</v>
      </c>
      <c r="F29" s="200">
        <f>((11.72+7.3+9.27+1.25+5.15+1.52+1.53+3.58+4.86+6.5+1.55+5.05+1.27+11.22+8.95+6.88+9.05)+(11.9*2)+8)*(0.15*0.15)</f>
        <v>2.8901249999999998</v>
      </c>
      <c r="G29" s="38"/>
      <c r="H29" s="31"/>
      <c r="I29" s="26"/>
    </row>
    <row r="30" spans="1:9" s="27" customFormat="1" ht="30.75" customHeight="1">
      <c r="A30" s="15" t="s">
        <v>371</v>
      </c>
      <c r="B30" s="195" t="s">
        <v>57</v>
      </c>
      <c r="C30" s="195" t="s">
        <v>369</v>
      </c>
      <c r="D30" s="199" t="s">
        <v>368</v>
      </c>
      <c r="E30" s="195" t="s">
        <v>14</v>
      </c>
      <c r="F30" s="200">
        <f>(7.77+3.4+3.52)*2+(13.4+1.2)</f>
        <v>43.98</v>
      </c>
      <c r="G30" s="38"/>
      <c r="H30" s="31"/>
      <c r="I30" s="26"/>
    </row>
    <row r="31" spans="1:9" s="27" customFormat="1" ht="30.75" customHeight="1">
      <c r="A31" s="15" t="s">
        <v>414</v>
      </c>
      <c r="B31" s="195" t="s">
        <v>57</v>
      </c>
      <c r="C31" s="195" t="s">
        <v>410</v>
      </c>
      <c r="D31" s="199" t="s">
        <v>409</v>
      </c>
      <c r="E31" s="195" t="s">
        <v>14</v>
      </c>
      <c r="F31" s="200">
        <v>9</v>
      </c>
      <c r="G31" s="38"/>
      <c r="H31" s="31"/>
      <c r="I31" s="26"/>
    </row>
    <row r="32" spans="1:9" s="27" customFormat="1" ht="20.25" customHeight="1">
      <c r="A32" s="15" t="s">
        <v>415</v>
      </c>
      <c r="B32" s="195" t="s">
        <v>57</v>
      </c>
      <c r="C32" s="195" t="s">
        <v>412</v>
      </c>
      <c r="D32" s="199" t="s">
        <v>411</v>
      </c>
      <c r="E32" s="195" t="s">
        <v>413</v>
      </c>
      <c r="F32" s="200">
        <f>9*1</f>
        <v>9</v>
      </c>
      <c r="G32" s="38"/>
      <c r="H32" s="31"/>
      <c r="I32" s="26"/>
    </row>
    <row r="33" spans="1:9" s="27" customFormat="1" ht="17.25" customHeight="1">
      <c r="A33" s="15"/>
      <c r="B33" s="14"/>
      <c r="C33" s="28"/>
      <c r="D33" s="44" t="s">
        <v>137</v>
      </c>
      <c r="E33" s="28"/>
      <c r="F33" s="43"/>
      <c r="G33" s="38"/>
      <c r="H33" s="103"/>
    </row>
    <row r="34" spans="1:9" s="27" customFormat="1" ht="18.75" customHeight="1">
      <c r="A34" s="56">
        <v>2</v>
      </c>
      <c r="B34" s="48"/>
      <c r="C34" s="48"/>
      <c r="D34" s="104" t="s">
        <v>136</v>
      </c>
      <c r="E34" s="48"/>
      <c r="F34" s="101"/>
      <c r="G34" s="102"/>
      <c r="H34" s="102"/>
      <c r="I34" s="26"/>
    </row>
    <row r="35" spans="1:9" s="27" customFormat="1" ht="31.5" customHeight="1">
      <c r="A35" s="197" t="s">
        <v>10</v>
      </c>
      <c r="B35" s="195" t="s">
        <v>57</v>
      </c>
      <c r="C35" s="195" t="s">
        <v>26</v>
      </c>
      <c r="D35" s="202" t="s">
        <v>213</v>
      </c>
      <c r="E35" s="195" t="s">
        <v>12</v>
      </c>
      <c r="F35" s="200">
        <f>3031.33+1277.2+183.25</f>
        <v>4491.78</v>
      </c>
      <c r="G35" s="203"/>
      <c r="H35" s="38"/>
      <c r="I35" s="26"/>
    </row>
    <row r="36" spans="1:9" s="27" customFormat="1" ht="16.5" customHeight="1">
      <c r="A36" s="197" t="s">
        <v>17</v>
      </c>
      <c r="B36" s="195" t="s">
        <v>57</v>
      </c>
      <c r="C36" s="195" t="s">
        <v>52</v>
      </c>
      <c r="D36" s="204" t="s">
        <v>51</v>
      </c>
      <c r="E36" s="195" t="s">
        <v>12</v>
      </c>
      <c r="F36" s="200">
        <f>(339.75+129.59)</f>
        <v>469.34000000000003</v>
      </c>
      <c r="G36" s="203"/>
      <c r="H36" s="38"/>
      <c r="I36" s="26"/>
    </row>
    <row r="37" spans="1:9" s="27" customFormat="1" ht="19.5" customHeight="1">
      <c r="A37" s="197" t="s">
        <v>18</v>
      </c>
      <c r="B37" s="195" t="s">
        <v>57</v>
      </c>
      <c r="C37" s="195" t="s">
        <v>71</v>
      </c>
      <c r="D37" s="204" t="s">
        <v>372</v>
      </c>
      <c r="E37" s="195" t="s">
        <v>13</v>
      </c>
      <c r="F37" s="200">
        <f>(6.58+3.27+12.51+14.24+4.86+1.55+5.05+1.27+11.22+8.95+6.88+9.05+2.39+1.3+2.85+1.62+19.64+11.27)*0.2*0.15</f>
        <v>3.7349999999999994</v>
      </c>
      <c r="G37" s="203"/>
      <c r="H37" s="38"/>
      <c r="I37" s="26"/>
    </row>
    <row r="38" spans="1:9" s="27" customFormat="1" ht="15" customHeight="1">
      <c r="A38" s="197" t="s">
        <v>19</v>
      </c>
      <c r="B38" s="195" t="s">
        <v>57</v>
      </c>
      <c r="C38" s="195" t="s">
        <v>48</v>
      </c>
      <c r="D38" s="204" t="s">
        <v>192</v>
      </c>
      <c r="E38" s="195" t="s">
        <v>13</v>
      </c>
      <c r="F38" s="200">
        <f>(6.58+3.27+12.51+14.24+4.86+1.55+5.05+1.27+11.22+8.95+6.88+9.05+2.39+1.3+2.85+1.62)*0.03*0.2</f>
        <v>0.56153999999999993</v>
      </c>
      <c r="G38" s="203"/>
      <c r="H38" s="240"/>
      <c r="I38" s="241"/>
    </row>
    <row r="39" spans="1:9" s="27" customFormat="1" ht="15" customHeight="1">
      <c r="A39" s="197" t="s">
        <v>20</v>
      </c>
      <c r="B39" s="195" t="s">
        <v>57</v>
      </c>
      <c r="C39" s="195" t="s">
        <v>72</v>
      </c>
      <c r="D39" s="204" t="s">
        <v>188</v>
      </c>
      <c r="E39" s="195" t="s">
        <v>12</v>
      </c>
      <c r="F39" s="200">
        <f>(14.24+12.51)*0.4</f>
        <v>10.700000000000001</v>
      </c>
      <c r="G39" s="203"/>
      <c r="H39" s="240"/>
      <c r="I39" s="241"/>
    </row>
    <row r="40" spans="1:9" s="27" customFormat="1" ht="15" customHeight="1">
      <c r="A40" s="197" t="s">
        <v>21</v>
      </c>
      <c r="B40" s="195" t="s">
        <v>57</v>
      </c>
      <c r="C40" s="195" t="s">
        <v>74</v>
      </c>
      <c r="D40" s="204" t="s">
        <v>193</v>
      </c>
      <c r="E40" s="195" t="s">
        <v>12</v>
      </c>
      <c r="F40" s="200">
        <f>(6.58+3.27+4.86+1.55+5.05+1.27+11.22+8.95+6.88+9.05+2.39+1.3+2.85+1.62+50+19.64+11.27)*0.4</f>
        <v>59.100000000000016</v>
      </c>
      <c r="G40" s="203"/>
      <c r="H40" s="240"/>
      <c r="I40" s="242"/>
    </row>
    <row r="41" spans="1:9" s="27" customFormat="1" ht="15" customHeight="1">
      <c r="A41" s="197" t="s">
        <v>44</v>
      </c>
      <c r="B41" s="195" t="s">
        <v>57</v>
      </c>
      <c r="C41" s="195" t="s">
        <v>73</v>
      </c>
      <c r="D41" s="204" t="s">
        <v>376</v>
      </c>
      <c r="E41" s="195" t="s">
        <v>13</v>
      </c>
      <c r="F41" s="200">
        <f>(6.58+3.27+4.86+1.55+5.05+1.27+11.22+8.95+6.88+9.05+2.39+1.3+2.85+1.62+50+19.64+11.27)*0.12*0.2</f>
        <v>3.5460000000000012</v>
      </c>
      <c r="G41" s="203"/>
      <c r="H41" s="240"/>
      <c r="I41" s="241"/>
    </row>
    <row r="42" spans="1:9" s="27" customFormat="1" ht="15" customHeight="1">
      <c r="A42" s="197" t="s">
        <v>45</v>
      </c>
      <c r="B42" s="195" t="s">
        <v>57</v>
      </c>
      <c r="C42" s="195" t="s">
        <v>78</v>
      </c>
      <c r="D42" s="204" t="s">
        <v>210</v>
      </c>
      <c r="E42" s="195" t="s">
        <v>14</v>
      </c>
      <c r="F42" s="200">
        <f>5.2+26.58+25.4+25.4+26.58</f>
        <v>109.15999999999998</v>
      </c>
      <c r="G42" s="203"/>
      <c r="H42" s="38"/>
      <c r="I42" s="26"/>
    </row>
    <row r="43" spans="1:9" s="27" customFormat="1" ht="15" customHeight="1">
      <c r="A43" s="197" t="s">
        <v>46</v>
      </c>
      <c r="B43" s="195" t="s">
        <v>57</v>
      </c>
      <c r="C43" s="195" t="s">
        <v>50</v>
      </c>
      <c r="D43" s="204" t="s">
        <v>49</v>
      </c>
      <c r="E43" s="195" t="s">
        <v>33</v>
      </c>
      <c r="F43" s="200">
        <v>4</v>
      </c>
      <c r="G43" s="203"/>
      <c r="H43" s="38"/>
      <c r="I43" s="26"/>
    </row>
    <row r="44" spans="1:9" s="27" customFormat="1" ht="18.75" customHeight="1">
      <c r="A44" s="197" t="s">
        <v>139</v>
      </c>
      <c r="B44" s="195" t="s">
        <v>57</v>
      </c>
      <c r="C44" s="195" t="s">
        <v>76</v>
      </c>
      <c r="D44" s="199" t="s">
        <v>75</v>
      </c>
      <c r="E44" s="195" t="s">
        <v>13</v>
      </c>
      <c r="F44" s="200">
        <f>109.16*0.4*0.6</f>
        <v>26.198399999999999</v>
      </c>
      <c r="G44" s="203"/>
      <c r="H44" s="38"/>
      <c r="I44" s="26"/>
    </row>
    <row r="45" spans="1:9" s="27" customFormat="1" ht="18.75" customHeight="1">
      <c r="A45" s="197" t="s">
        <v>69</v>
      </c>
      <c r="B45" s="195" t="s">
        <v>57</v>
      </c>
      <c r="C45" s="195" t="s">
        <v>40</v>
      </c>
      <c r="D45" s="199" t="s">
        <v>87</v>
      </c>
      <c r="E45" s="195" t="s">
        <v>13</v>
      </c>
      <c r="F45" s="200">
        <f>109.16*0.03*0.4</f>
        <v>1.30992</v>
      </c>
      <c r="G45" s="203"/>
      <c r="H45" s="38"/>
      <c r="I45" s="26"/>
    </row>
    <row r="46" spans="1:9" s="27" customFormat="1" ht="15.75" customHeight="1">
      <c r="A46" s="197" t="s">
        <v>96</v>
      </c>
      <c r="B46" s="195" t="s">
        <v>57</v>
      </c>
      <c r="C46" s="195" t="s">
        <v>220</v>
      </c>
      <c r="D46" s="204" t="s">
        <v>219</v>
      </c>
      <c r="E46" s="195" t="s">
        <v>68</v>
      </c>
      <c r="F46" s="200">
        <v>23</v>
      </c>
      <c r="G46" s="205"/>
      <c r="H46" s="38"/>
      <c r="I46" s="26"/>
    </row>
    <row r="47" spans="1:9" s="27" customFormat="1" ht="30.75" customHeight="1">
      <c r="A47" s="197" t="s">
        <v>140</v>
      </c>
      <c r="B47" s="195" t="s">
        <v>57</v>
      </c>
      <c r="C47" s="195" t="s">
        <v>312</v>
      </c>
      <c r="D47" s="204" t="s">
        <v>313</v>
      </c>
      <c r="E47" s="195" t="s">
        <v>12</v>
      </c>
      <c r="F47" s="200">
        <f>3031.33+183.25+1277.2</f>
        <v>4491.78</v>
      </c>
      <c r="G47" s="205"/>
      <c r="H47" s="38"/>
    </row>
    <row r="48" spans="1:9" s="27" customFormat="1" ht="30.75" customHeight="1">
      <c r="A48" s="197" t="s">
        <v>141</v>
      </c>
      <c r="B48" s="195" t="s">
        <v>57</v>
      </c>
      <c r="C48" s="195" t="s">
        <v>70</v>
      </c>
      <c r="D48" s="204" t="s">
        <v>452</v>
      </c>
      <c r="E48" s="195" t="s">
        <v>13</v>
      </c>
      <c r="F48" s="200">
        <f>23.17*0.05+(17.62*2*0.05)+(5.64*2*0.05)</f>
        <v>3.4845000000000006</v>
      </c>
      <c r="G48" s="205"/>
      <c r="H48" s="38"/>
    </row>
    <row r="49" spans="1:9" s="27" customFormat="1" ht="15" customHeight="1">
      <c r="A49" s="197" t="s">
        <v>142</v>
      </c>
      <c r="B49" s="195" t="s">
        <v>57</v>
      </c>
      <c r="C49" s="195" t="s">
        <v>99</v>
      </c>
      <c r="D49" s="204" t="s">
        <v>95</v>
      </c>
      <c r="E49" s="195" t="s">
        <v>14</v>
      </c>
      <c r="F49" s="206">
        <f>65.16+38.17</f>
        <v>103.33</v>
      </c>
      <c r="G49" s="207"/>
      <c r="H49" s="38"/>
      <c r="I49" s="26"/>
    </row>
    <row r="50" spans="1:9" s="27" customFormat="1" ht="39" customHeight="1">
      <c r="A50" s="197" t="s">
        <v>143</v>
      </c>
      <c r="B50" s="195" t="s">
        <v>57</v>
      </c>
      <c r="C50" s="195" t="s">
        <v>73</v>
      </c>
      <c r="D50" s="204" t="s">
        <v>375</v>
      </c>
      <c r="E50" s="195" t="s">
        <v>13</v>
      </c>
      <c r="F50" s="206">
        <f>(2.5*9*0.2)+((17.25+3.33+3.33+65.7)*0.4*0.06)+((24*0.25*0.25*0.35)+(28*0.15*0.35*0.5)+(38.87*0.5*0.1)*2)+(15.1*0.2*0.25)+(0.38*0.15*0.2*4)+(15.1*0.2*0.12)</f>
        <v>12.960640000000001</v>
      </c>
      <c r="G50" s="207"/>
      <c r="H50" s="38"/>
      <c r="I50" s="26"/>
    </row>
    <row r="51" spans="1:9" s="27" customFormat="1" ht="33" customHeight="1">
      <c r="A51" s="197" t="s">
        <v>144</v>
      </c>
      <c r="B51" s="195" t="s">
        <v>57</v>
      </c>
      <c r="C51" s="195" t="s">
        <v>195</v>
      </c>
      <c r="D51" s="204" t="s">
        <v>196</v>
      </c>
      <c r="E51" s="195" t="s">
        <v>13</v>
      </c>
      <c r="F51" s="206">
        <f>12.96</f>
        <v>12.96</v>
      </c>
      <c r="G51" s="207"/>
      <c r="H51" s="38"/>
      <c r="I51" s="26"/>
    </row>
    <row r="52" spans="1:9" s="27" customFormat="1" ht="33" customHeight="1">
      <c r="A52" s="197" t="s">
        <v>145</v>
      </c>
      <c r="B52" s="195" t="s">
        <v>57</v>
      </c>
      <c r="C52" s="195" t="s">
        <v>200</v>
      </c>
      <c r="D52" s="204" t="s">
        <v>457</v>
      </c>
      <c r="E52" s="195" t="s">
        <v>130</v>
      </c>
      <c r="F52" s="206">
        <f>(12.96*80*0.8)</f>
        <v>829.44000000000017</v>
      </c>
      <c r="G52" s="207"/>
      <c r="H52" s="38"/>
      <c r="I52" s="26"/>
    </row>
    <row r="53" spans="1:9" s="27" customFormat="1" ht="30.75" customHeight="1">
      <c r="A53" s="197" t="s">
        <v>146</v>
      </c>
      <c r="B53" s="195" t="s">
        <v>57</v>
      </c>
      <c r="C53" s="197" t="s">
        <v>132</v>
      </c>
      <c r="D53" s="204" t="s">
        <v>456</v>
      </c>
      <c r="E53" s="195" t="s">
        <v>130</v>
      </c>
      <c r="F53" s="206">
        <f>(12.96*80*0.2)</f>
        <v>207.36000000000004</v>
      </c>
      <c r="G53" s="207"/>
      <c r="H53" s="38"/>
      <c r="I53" s="26"/>
    </row>
    <row r="54" spans="1:9" s="27" customFormat="1" ht="30.75" customHeight="1">
      <c r="A54" s="197" t="s">
        <v>147</v>
      </c>
      <c r="B54" s="195" t="s">
        <v>57</v>
      </c>
      <c r="C54" s="195" t="s">
        <v>72</v>
      </c>
      <c r="D54" s="204" t="s">
        <v>189</v>
      </c>
      <c r="E54" s="195" t="s">
        <v>12</v>
      </c>
      <c r="F54" s="206">
        <f>(77.76*2*0.1)</f>
        <v>15.552000000000001</v>
      </c>
      <c r="G54" s="207"/>
      <c r="H54" s="38"/>
      <c r="I54" s="26"/>
    </row>
    <row r="55" spans="1:9" s="27" customFormat="1" ht="30.75" customHeight="1">
      <c r="A55" s="197" t="s">
        <v>148</v>
      </c>
      <c r="B55" s="195" t="s">
        <v>57</v>
      </c>
      <c r="C55" s="195" t="s">
        <v>131</v>
      </c>
      <c r="D55" s="204" t="s">
        <v>373</v>
      </c>
      <c r="E55" s="195" t="s">
        <v>14</v>
      </c>
      <c r="F55" s="206">
        <f>(26*2*1)</f>
        <v>52</v>
      </c>
      <c r="G55" s="207"/>
      <c r="H55" s="38"/>
      <c r="I55" s="26"/>
    </row>
    <row r="56" spans="1:9" s="27" customFormat="1" ht="30.75" customHeight="1">
      <c r="A56" s="197" t="s">
        <v>149</v>
      </c>
      <c r="B56" s="195" t="s">
        <v>57</v>
      </c>
      <c r="C56" s="195" t="s">
        <v>133</v>
      </c>
      <c r="D56" s="204" t="s">
        <v>374</v>
      </c>
      <c r="E56" s="195" t="s">
        <v>12</v>
      </c>
      <c r="F56" s="206">
        <f>((0.7+0.15+0.15)*14+(0.25*0.25)*12)+(23*0.2)</f>
        <v>19.350000000000001</v>
      </c>
      <c r="G56" s="207"/>
      <c r="H56" s="38"/>
      <c r="I56" s="26"/>
    </row>
    <row r="57" spans="1:9" s="27" customFormat="1" ht="29.25" customHeight="1">
      <c r="A57" s="197" t="s">
        <v>150</v>
      </c>
      <c r="B57" s="195" t="s">
        <v>57</v>
      </c>
      <c r="C57" s="195" t="s">
        <v>199</v>
      </c>
      <c r="D57" s="204" t="s">
        <v>209</v>
      </c>
      <c r="E57" s="195" t="s">
        <v>14</v>
      </c>
      <c r="F57" s="206">
        <f>(3*6)</f>
        <v>18</v>
      </c>
      <c r="G57" s="207"/>
      <c r="H57" s="38"/>
      <c r="I57" s="26"/>
    </row>
    <row r="58" spans="1:9" s="27" customFormat="1" ht="15" customHeight="1">
      <c r="A58" s="197" t="s">
        <v>151</v>
      </c>
      <c r="B58" s="195" t="s">
        <v>57</v>
      </c>
      <c r="C58" s="195" t="s">
        <v>201</v>
      </c>
      <c r="D58" s="204" t="s">
        <v>283</v>
      </c>
      <c r="E58" s="195" t="s">
        <v>12</v>
      </c>
      <c r="F58" s="206">
        <v>5.33</v>
      </c>
      <c r="G58" s="207"/>
      <c r="H58" s="38"/>
      <c r="I58" s="26"/>
    </row>
    <row r="59" spans="1:9" s="27" customFormat="1" ht="29.25">
      <c r="A59" s="197" t="s">
        <v>152</v>
      </c>
      <c r="B59" s="195" t="s">
        <v>57</v>
      </c>
      <c r="C59" s="195" t="s">
        <v>204</v>
      </c>
      <c r="D59" s="204" t="s">
        <v>441</v>
      </c>
      <c r="E59" s="195" t="s">
        <v>13</v>
      </c>
      <c r="F59" s="206">
        <f>(11.52*2+3.21)*0.02</f>
        <v>0.52500000000000002</v>
      </c>
      <c r="G59" s="207"/>
      <c r="H59" s="38"/>
      <c r="I59" s="26"/>
    </row>
    <row r="60" spans="1:9" s="27" customFormat="1" ht="29.25">
      <c r="A60" s="197" t="s">
        <v>197</v>
      </c>
      <c r="B60" s="28" t="s">
        <v>57</v>
      </c>
      <c r="C60" s="28" t="s">
        <v>222</v>
      </c>
      <c r="D60" s="47" t="s">
        <v>352</v>
      </c>
      <c r="E60" s="15" t="s">
        <v>12</v>
      </c>
      <c r="F60" s="33">
        <f>(11.56*2)</f>
        <v>23.12</v>
      </c>
      <c r="G60" s="31"/>
      <c r="H60" s="31"/>
      <c r="I60" s="26"/>
    </row>
    <row r="61" spans="1:9" s="27" customFormat="1">
      <c r="A61" s="197" t="s">
        <v>198</v>
      </c>
      <c r="B61" s="195" t="s">
        <v>57</v>
      </c>
      <c r="C61" s="195" t="s">
        <v>218</v>
      </c>
      <c r="D61" s="204" t="s">
        <v>304</v>
      </c>
      <c r="E61" s="195" t="s">
        <v>12</v>
      </c>
      <c r="F61" s="206">
        <f>((17.25+3.33+3.33+65.7)*0.4)</f>
        <v>35.844000000000001</v>
      </c>
      <c r="G61" s="207"/>
      <c r="H61" s="38"/>
      <c r="I61" s="26"/>
    </row>
    <row r="62" spans="1:9" s="27" customFormat="1">
      <c r="A62" s="197" t="s">
        <v>202</v>
      </c>
      <c r="B62" s="28" t="s">
        <v>57</v>
      </c>
      <c r="C62" s="28" t="s">
        <v>230</v>
      </c>
      <c r="D62" s="12" t="s">
        <v>439</v>
      </c>
      <c r="E62" s="28" t="s">
        <v>12</v>
      </c>
      <c r="F62" s="45">
        <f>11.52</f>
        <v>11.52</v>
      </c>
      <c r="G62" s="31"/>
      <c r="H62" s="38"/>
      <c r="I62" s="26"/>
    </row>
    <row r="63" spans="1:9" s="27" customFormat="1" ht="29.25">
      <c r="A63" s="197" t="s">
        <v>203</v>
      </c>
      <c r="B63" s="195" t="s">
        <v>57</v>
      </c>
      <c r="C63" s="195" t="s">
        <v>314</v>
      </c>
      <c r="D63" s="204" t="s">
        <v>319</v>
      </c>
      <c r="E63" s="195" t="s">
        <v>12</v>
      </c>
      <c r="F63" s="206">
        <f>(0.9*2.2)*2</f>
        <v>3.9600000000000004</v>
      </c>
      <c r="G63" s="207"/>
      <c r="H63" s="38"/>
      <c r="I63" s="26"/>
    </row>
    <row r="64" spans="1:9" s="27" customFormat="1">
      <c r="A64" s="197" t="s">
        <v>205</v>
      </c>
      <c r="B64" s="195" t="s">
        <v>57</v>
      </c>
      <c r="C64" s="195" t="s">
        <v>315</v>
      </c>
      <c r="D64" s="204" t="s">
        <v>444</v>
      </c>
      <c r="E64" s="195" t="s">
        <v>12</v>
      </c>
      <c r="F64" s="206">
        <f>((0.9*2.2)*2)*2</f>
        <v>7.9200000000000008</v>
      </c>
      <c r="G64" s="207"/>
      <c r="H64" s="38"/>
      <c r="I64" s="26"/>
    </row>
    <row r="65" spans="1:9" s="27" customFormat="1">
      <c r="A65" s="197" t="s">
        <v>217</v>
      </c>
      <c r="B65" s="195" t="s">
        <v>57</v>
      </c>
      <c r="C65" s="195" t="s">
        <v>316</v>
      </c>
      <c r="D65" s="204" t="s">
        <v>448</v>
      </c>
      <c r="E65" s="195" t="s">
        <v>12</v>
      </c>
      <c r="F65" s="206">
        <f>((0.9*2.2)*2)*2+(6.58+3.27+4.86+1.55+5.05+1.27+11.22+8.95+6.88+9.05+2.39+1.3+2.85+1.62+50+19.64+11.27+14.24+12.51)*0.52</f>
        <v>98.660000000000025</v>
      </c>
      <c r="G65" s="207"/>
      <c r="H65" s="38"/>
      <c r="I65" s="26"/>
    </row>
    <row r="66" spans="1:9" s="27" customFormat="1">
      <c r="A66" s="197" t="s">
        <v>381</v>
      </c>
      <c r="B66" s="195" t="s">
        <v>57</v>
      </c>
      <c r="C66" s="195" t="s">
        <v>380</v>
      </c>
      <c r="D66" s="204" t="s">
        <v>379</v>
      </c>
      <c r="E66" s="195" t="s">
        <v>14</v>
      </c>
      <c r="F66" s="206">
        <f>100</f>
        <v>100</v>
      </c>
      <c r="G66" s="207"/>
      <c r="H66" s="38"/>
      <c r="I66" s="26"/>
    </row>
    <row r="67" spans="1:9" s="27" customFormat="1" ht="29.25">
      <c r="A67" s="197" t="s">
        <v>382</v>
      </c>
      <c r="B67" s="195" t="s">
        <v>57</v>
      </c>
      <c r="C67" s="195" t="s">
        <v>437</v>
      </c>
      <c r="D67" s="223" t="s">
        <v>464</v>
      </c>
      <c r="E67" s="195" t="s">
        <v>12</v>
      </c>
      <c r="F67" s="206">
        <f>(65.7*0.45)+11.52+((2.87+2.87+16.87)*0.3)+((9.23+20.83+20.46+9.23)*0.5)+(24*0.25*0.25*0.35)+(28*0.15*0.35*0.5)+(38.87*2*0.1)</f>
        <v>86.777000000000001</v>
      </c>
      <c r="G67" s="207"/>
      <c r="H67" s="38"/>
      <c r="I67" s="26"/>
    </row>
    <row r="68" spans="1:9" s="27" customFormat="1">
      <c r="A68" s="197" t="s">
        <v>383</v>
      </c>
      <c r="B68" s="195" t="s">
        <v>57</v>
      </c>
      <c r="C68" s="195" t="s">
        <v>438</v>
      </c>
      <c r="D68" s="223" t="s">
        <v>465</v>
      </c>
      <c r="E68" s="195" t="s">
        <v>12</v>
      </c>
      <c r="F68" s="206">
        <f>F67</f>
        <v>86.777000000000001</v>
      </c>
      <c r="G68" s="207"/>
      <c r="H68" s="38"/>
      <c r="I68" s="26"/>
    </row>
    <row r="69" spans="1:9" s="27" customFormat="1">
      <c r="A69" s="197" t="s">
        <v>521</v>
      </c>
      <c r="B69" s="195" t="s">
        <v>57</v>
      </c>
      <c r="C69" s="195" t="s">
        <v>443</v>
      </c>
      <c r="D69" s="218" t="s">
        <v>440</v>
      </c>
      <c r="E69" s="195" t="s">
        <v>12</v>
      </c>
      <c r="F69" s="206">
        <v>27.8</v>
      </c>
      <c r="G69" s="207"/>
      <c r="H69" s="38"/>
      <c r="I69" s="26"/>
    </row>
    <row r="70" spans="1:9" s="27" customFormat="1" ht="15" customHeight="1">
      <c r="A70" s="15"/>
      <c r="B70" s="28"/>
      <c r="C70" s="28"/>
      <c r="D70" s="219"/>
      <c r="E70" s="28"/>
      <c r="F70" s="45"/>
      <c r="G70" s="31"/>
      <c r="H70" s="35"/>
      <c r="I70" s="26"/>
    </row>
    <row r="71" spans="1:9" s="27" customFormat="1" ht="15" customHeight="1">
      <c r="A71" s="52">
        <v>3</v>
      </c>
      <c r="B71" s="48"/>
      <c r="C71" s="48"/>
      <c r="D71" s="57" t="s">
        <v>36</v>
      </c>
      <c r="E71" s="48"/>
      <c r="F71" s="56"/>
      <c r="G71" s="29"/>
      <c r="H71" s="29"/>
      <c r="I71" s="26"/>
    </row>
    <row r="72" spans="1:9" s="27" customFormat="1" ht="33" customHeight="1">
      <c r="A72" s="15" t="s">
        <v>58</v>
      </c>
      <c r="B72" s="28" t="s">
        <v>57</v>
      </c>
      <c r="C72" s="28" t="s">
        <v>317</v>
      </c>
      <c r="D72" s="36" t="s">
        <v>318</v>
      </c>
      <c r="E72" s="28" t="s">
        <v>33</v>
      </c>
      <c r="F72" s="34">
        <v>4</v>
      </c>
      <c r="G72" s="39"/>
      <c r="H72" s="38"/>
      <c r="I72" s="26"/>
    </row>
    <row r="73" spans="1:9" s="27" customFormat="1" ht="30.75" customHeight="1">
      <c r="A73" s="15" t="s">
        <v>59</v>
      </c>
      <c r="B73" s="195" t="s">
        <v>57</v>
      </c>
      <c r="C73" s="28" t="s">
        <v>23</v>
      </c>
      <c r="D73" s="204" t="s">
        <v>507</v>
      </c>
      <c r="E73" s="28" t="s">
        <v>33</v>
      </c>
      <c r="F73" s="33">
        <v>4</v>
      </c>
      <c r="G73" s="39"/>
      <c r="H73" s="38"/>
      <c r="I73" s="26"/>
    </row>
    <row r="74" spans="1:9" s="27" customFormat="1" ht="31.5" customHeight="1">
      <c r="A74" s="15" t="s">
        <v>153</v>
      </c>
      <c r="B74" s="14" t="s">
        <v>57</v>
      </c>
      <c r="C74" s="28" t="s">
        <v>24</v>
      </c>
      <c r="D74" s="201" t="s">
        <v>508</v>
      </c>
      <c r="E74" s="28" t="s">
        <v>33</v>
      </c>
      <c r="F74" s="34">
        <f>18*3</f>
        <v>54</v>
      </c>
      <c r="G74" s="39"/>
      <c r="H74" s="38"/>
      <c r="I74" s="26"/>
    </row>
    <row r="75" spans="1:9" s="27" customFormat="1" ht="15.75">
      <c r="A75" s="15" t="s">
        <v>154</v>
      </c>
      <c r="B75" s="14" t="s">
        <v>57</v>
      </c>
      <c r="C75" s="28" t="s">
        <v>37</v>
      </c>
      <c r="D75" s="16" t="s">
        <v>42</v>
      </c>
      <c r="E75" s="37" t="s">
        <v>33</v>
      </c>
      <c r="F75" s="41">
        <v>13</v>
      </c>
      <c r="G75" s="40"/>
      <c r="H75" s="38"/>
      <c r="I75" s="26"/>
    </row>
    <row r="76" spans="1:9" s="27" customFormat="1" ht="15.75">
      <c r="A76" s="15" t="s">
        <v>155</v>
      </c>
      <c r="B76" s="14" t="s">
        <v>57</v>
      </c>
      <c r="C76" s="28" t="s">
        <v>38</v>
      </c>
      <c r="D76" s="16" t="s">
        <v>41</v>
      </c>
      <c r="E76" s="22" t="s">
        <v>14</v>
      </c>
      <c r="F76" s="42">
        <f>(F78*3)</f>
        <v>726.21</v>
      </c>
      <c r="G76" s="40"/>
      <c r="H76" s="38"/>
      <c r="I76" s="26"/>
    </row>
    <row r="77" spans="1:9" s="27" customFormat="1" ht="15.75">
      <c r="A77" s="15" t="s">
        <v>156</v>
      </c>
      <c r="B77" s="14" t="s">
        <v>57</v>
      </c>
      <c r="C77" s="28" t="s">
        <v>320</v>
      </c>
      <c r="D77" s="16" t="s">
        <v>321</v>
      </c>
      <c r="E77" s="22" t="s">
        <v>14</v>
      </c>
      <c r="F77" s="42">
        <f>(28.22+5+4)*4</f>
        <v>148.88</v>
      </c>
      <c r="G77" s="40"/>
      <c r="H77" s="38"/>
      <c r="I77" s="26"/>
    </row>
    <row r="78" spans="1:9" s="194" customFormat="1" ht="30.75" customHeight="1">
      <c r="A78" s="15" t="s">
        <v>157</v>
      </c>
      <c r="B78" s="28" t="s">
        <v>57</v>
      </c>
      <c r="C78" s="28" t="s">
        <v>39</v>
      </c>
      <c r="D78" s="36" t="s">
        <v>384</v>
      </c>
      <c r="E78" s="22" t="s">
        <v>14</v>
      </c>
      <c r="F78" s="41">
        <f>(30.6+7.83+22.29+32+16.7+26.84+24.11+21.7)+7.5*8</f>
        <v>242.07</v>
      </c>
      <c r="G78" s="40"/>
      <c r="H78" s="38"/>
      <c r="I78" s="212"/>
    </row>
    <row r="79" spans="1:9" s="194" customFormat="1" ht="30.75" customHeight="1">
      <c r="A79" s="15" t="s">
        <v>158</v>
      </c>
      <c r="B79" s="28" t="s">
        <v>57</v>
      </c>
      <c r="C79" s="28" t="s">
        <v>386</v>
      </c>
      <c r="D79" s="36" t="s">
        <v>385</v>
      </c>
      <c r="E79" s="22" t="s">
        <v>14</v>
      </c>
      <c r="F79" s="41">
        <f>28.22+57.56+27.86+31.66+5+4</f>
        <v>154.30000000000001</v>
      </c>
      <c r="G79" s="40"/>
      <c r="H79" s="38"/>
      <c r="I79" s="216"/>
    </row>
    <row r="80" spans="1:9" s="194" customFormat="1" ht="30.75" customHeight="1">
      <c r="A80" s="15" t="s">
        <v>159</v>
      </c>
      <c r="B80" s="28" t="s">
        <v>57</v>
      </c>
      <c r="C80" s="28" t="s">
        <v>388</v>
      </c>
      <c r="D80" s="36" t="s">
        <v>387</v>
      </c>
      <c r="E80" s="22" t="s">
        <v>14</v>
      </c>
      <c r="F80" s="41">
        <f>5+2+2</f>
        <v>9</v>
      </c>
      <c r="G80" s="40"/>
      <c r="H80" s="38"/>
      <c r="I80" s="212"/>
    </row>
    <row r="81" spans="1:9" s="27" customFormat="1" ht="30.75" customHeight="1">
      <c r="A81" s="15" t="s">
        <v>160</v>
      </c>
      <c r="B81" s="14" t="s">
        <v>57</v>
      </c>
      <c r="C81" s="28" t="s">
        <v>71</v>
      </c>
      <c r="D81" s="36" t="s">
        <v>215</v>
      </c>
      <c r="E81" s="22" t="s">
        <v>13</v>
      </c>
      <c r="F81" s="41">
        <f>((30.6+7.83+22.29+32+16.7+26.84+24.11+21.7))*0.4*0.2+(28.22+57.56+27.86+31.66+5+4)*0.4*0.02</f>
        <v>15.800000000000002</v>
      </c>
      <c r="G81" s="40"/>
      <c r="H81" s="38"/>
      <c r="I81" s="26"/>
    </row>
    <row r="82" spans="1:9" s="27" customFormat="1" ht="16.5" customHeight="1">
      <c r="A82" s="15" t="s">
        <v>161</v>
      </c>
      <c r="B82" s="14" t="s">
        <v>57</v>
      </c>
      <c r="C82" s="28" t="s">
        <v>48</v>
      </c>
      <c r="D82" s="36" t="s">
        <v>47</v>
      </c>
      <c r="E82" s="22" t="s">
        <v>13</v>
      </c>
      <c r="F82" s="41">
        <f>(0.4-0.16)*(182.07+28.22+57.56+27.86+31.66+5+4)*1.3</f>
        <v>104.94744000000003</v>
      </c>
      <c r="G82" s="40"/>
      <c r="H82" s="38"/>
      <c r="I82" s="26"/>
    </row>
    <row r="83" spans="1:9" s="27" customFormat="1" ht="15.75">
      <c r="A83" s="15" t="s">
        <v>214</v>
      </c>
      <c r="B83" s="14" t="s">
        <v>57</v>
      </c>
      <c r="C83" s="28" t="s">
        <v>40</v>
      </c>
      <c r="D83" s="16" t="s">
        <v>43</v>
      </c>
      <c r="E83" s="22" t="s">
        <v>13</v>
      </c>
      <c r="F83" s="41">
        <f>(182.07+28.22+57.56+27.86+31.66+5+4)*0.2*0.08</f>
        <v>5.3819200000000009</v>
      </c>
      <c r="G83" s="40"/>
      <c r="H83" s="38"/>
      <c r="I83" s="26"/>
    </row>
    <row r="84" spans="1:9" s="27" customFormat="1" ht="15.75">
      <c r="A84" s="15" t="s">
        <v>282</v>
      </c>
      <c r="B84" s="28" t="s">
        <v>57</v>
      </c>
      <c r="C84" s="28" t="s">
        <v>70</v>
      </c>
      <c r="D84" s="16" t="s">
        <v>290</v>
      </c>
      <c r="E84" s="22" t="s">
        <v>13</v>
      </c>
      <c r="F84" s="41">
        <f>(0.4*0.4*0.4*8)+(182.07+28.22+57.56+27.86+31.66+5+4)*0.2*0.08</f>
        <v>5.8939200000000014</v>
      </c>
      <c r="G84" s="40"/>
      <c r="H84" s="38"/>
      <c r="I84" s="26"/>
    </row>
    <row r="85" spans="1:9" s="27" customFormat="1" ht="29.25">
      <c r="A85" s="15" t="s">
        <v>330</v>
      </c>
      <c r="B85" s="14" t="s">
        <v>57</v>
      </c>
      <c r="C85" s="28" t="s">
        <v>97</v>
      </c>
      <c r="D85" s="47" t="s">
        <v>228</v>
      </c>
      <c r="E85" s="22" t="s">
        <v>33</v>
      </c>
      <c r="F85" s="41">
        <v>6</v>
      </c>
      <c r="G85" s="40"/>
      <c r="H85" s="38"/>
      <c r="I85" s="26"/>
    </row>
    <row r="86" spans="1:9" s="27" customFormat="1" ht="29.25">
      <c r="A86" s="15" t="s">
        <v>331</v>
      </c>
      <c r="B86" s="14" t="s">
        <v>57</v>
      </c>
      <c r="C86" s="28" t="s">
        <v>195</v>
      </c>
      <c r="D86" s="9" t="s">
        <v>196</v>
      </c>
      <c r="E86" s="28" t="s">
        <v>13</v>
      </c>
      <c r="F86" s="41">
        <f>F84</f>
        <v>5.8939200000000014</v>
      </c>
      <c r="G86" s="40"/>
      <c r="H86" s="38"/>
      <c r="I86" s="26"/>
    </row>
    <row r="87" spans="1:9" s="27" customFormat="1" ht="29.25">
      <c r="A87" s="15" t="s">
        <v>332</v>
      </c>
      <c r="B87" s="14" t="s">
        <v>57</v>
      </c>
      <c r="C87" s="28" t="s">
        <v>323</v>
      </c>
      <c r="D87" s="9" t="s">
        <v>322</v>
      </c>
      <c r="E87" s="28" t="s">
        <v>12</v>
      </c>
      <c r="F87" s="41">
        <f>(1.7*0.6)*2</f>
        <v>2.04</v>
      </c>
      <c r="G87" s="40"/>
      <c r="H87" s="38"/>
      <c r="I87" s="26"/>
    </row>
    <row r="88" spans="1:9" s="27" customFormat="1">
      <c r="A88" s="15" t="s">
        <v>333</v>
      </c>
      <c r="B88" s="14" t="s">
        <v>57</v>
      </c>
      <c r="C88" s="28" t="s">
        <v>315</v>
      </c>
      <c r="D88" s="204" t="s">
        <v>324</v>
      </c>
      <c r="E88" s="195" t="s">
        <v>12</v>
      </c>
      <c r="F88" s="206">
        <f>(0.6+0.2+0.6+0.2)*1.7</f>
        <v>2.7199999999999998</v>
      </c>
      <c r="G88" s="207"/>
      <c r="H88" s="38"/>
      <c r="I88" s="26"/>
    </row>
    <row r="89" spans="1:9" s="194" customFormat="1">
      <c r="A89" s="15" t="s">
        <v>334</v>
      </c>
      <c r="B89" s="14" t="s">
        <v>57</v>
      </c>
      <c r="C89" s="28" t="s">
        <v>316</v>
      </c>
      <c r="D89" s="204" t="s">
        <v>325</v>
      </c>
      <c r="E89" s="195" t="s">
        <v>12</v>
      </c>
      <c r="F89" s="206">
        <f>(0.6+0.2+0.6+0.2)*1.7</f>
        <v>2.7199999999999998</v>
      </c>
      <c r="G89" s="207"/>
      <c r="H89" s="38"/>
      <c r="I89" s="193"/>
    </row>
    <row r="90" spans="1:9" s="194" customFormat="1">
      <c r="A90" s="15" t="s">
        <v>335</v>
      </c>
      <c r="B90" s="14" t="s">
        <v>57</v>
      </c>
      <c r="C90" s="28" t="s">
        <v>327</v>
      </c>
      <c r="D90" s="204" t="s">
        <v>326</v>
      </c>
      <c r="E90" s="195" t="s">
        <v>33</v>
      </c>
      <c r="F90" s="206">
        <v>2</v>
      </c>
      <c r="G90" s="207"/>
      <c r="H90" s="38"/>
      <c r="I90" s="193"/>
    </row>
    <row r="91" spans="1:9" s="194" customFormat="1">
      <c r="A91" s="15" t="s">
        <v>338</v>
      </c>
      <c r="B91" s="14" t="s">
        <v>57</v>
      </c>
      <c r="C91" s="28" t="s">
        <v>329</v>
      </c>
      <c r="D91" s="204" t="s">
        <v>328</v>
      </c>
      <c r="E91" s="195" t="s">
        <v>33</v>
      </c>
      <c r="F91" s="206">
        <v>2</v>
      </c>
      <c r="G91" s="207"/>
      <c r="H91" s="38"/>
      <c r="I91" s="193"/>
    </row>
    <row r="92" spans="1:9" s="194" customFormat="1" ht="29.25">
      <c r="A92" s="15" t="s">
        <v>341</v>
      </c>
      <c r="B92" s="14" t="s">
        <v>57</v>
      </c>
      <c r="C92" s="28" t="s">
        <v>337</v>
      </c>
      <c r="D92" s="204" t="s">
        <v>336</v>
      </c>
      <c r="E92" s="195" t="s">
        <v>33</v>
      </c>
      <c r="F92" s="206">
        <v>2</v>
      </c>
      <c r="G92" s="207"/>
      <c r="H92" s="38"/>
      <c r="I92" s="193"/>
    </row>
    <row r="93" spans="1:9" s="194" customFormat="1">
      <c r="A93" s="15" t="s">
        <v>342</v>
      </c>
      <c r="B93" s="14" t="s">
        <v>57</v>
      </c>
      <c r="C93" s="28" t="s">
        <v>339</v>
      </c>
      <c r="D93" s="204" t="s">
        <v>343</v>
      </c>
      <c r="E93" s="195" t="s">
        <v>33</v>
      </c>
      <c r="F93" s="206">
        <v>2</v>
      </c>
      <c r="G93" s="207"/>
      <c r="H93" s="38"/>
      <c r="I93" s="193"/>
    </row>
    <row r="94" spans="1:9" s="194" customFormat="1">
      <c r="A94" s="15" t="s">
        <v>397</v>
      </c>
      <c r="B94" s="14" t="s">
        <v>57</v>
      </c>
      <c r="C94" s="28" t="s">
        <v>340</v>
      </c>
      <c r="D94" s="204" t="s">
        <v>344</v>
      </c>
      <c r="E94" s="195" t="s">
        <v>33</v>
      </c>
      <c r="F94" s="206">
        <v>2</v>
      </c>
      <c r="G94" s="207"/>
      <c r="H94" s="38"/>
      <c r="I94" s="193"/>
    </row>
    <row r="95" spans="1:9" s="194" customFormat="1">
      <c r="A95" s="15" t="s">
        <v>398</v>
      </c>
      <c r="B95" s="14" t="s">
        <v>57</v>
      </c>
      <c r="C95" s="28" t="s">
        <v>389</v>
      </c>
      <c r="D95" s="204" t="s">
        <v>393</v>
      </c>
      <c r="E95" s="195" t="s">
        <v>33</v>
      </c>
      <c r="F95" s="206">
        <v>16</v>
      </c>
      <c r="G95" s="207"/>
      <c r="H95" s="38"/>
      <c r="I95" s="193"/>
    </row>
    <row r="96" spans="1:9" s="194" customFormat="1">
      <c r="A96" s="15" t="s">
        <v>399</v>
      </c>
      <c r="B96" s="28" t="s">
        <v>57</v>
      </c>
      <c r="C96" s="28" t="s">
        <v>390</v>
      </c>
      <c r="D96" s="204" t="s">
        <v>394</v>
      </c>
      <c r="E96" s="195" t="s">
        <v>33</v>
      </c>
      <c r="F96" s="206">
        <f>2*3</f>
        <v>6</v>
      </c>
      <c r="G96" s="207"/>
      <c r="H96" s="38"/>
      <c r="I96" s="193"/>
    </row>
    <row r="97" spans="1:9" s="194" customFormat="1">
      <c r="A97" s="15" t="s">
        <v>400</v>
      </c>
      <c r="B97" s="28" t="s">
        <v>57</v>
      </c>
      <c r="C97" s="28" t="s">
        <v>434</v>
      </c>
      <c r="D97" s="204" t="s">
        <v>433</v>
      </c>
      <c r="E97" s="195" t="s">
        <v>14</v>
      </c>
      <c r="F97" s="206">
        <f>2.5*6</f>
        <v>15</v>
      </c>
      <c r="G97" s="207"/>
      <c r="H97" s="38"/>
      <c r="I97" s="193"/>
    </row>
    <row r="98" spans="1:9" s="194" customFormat="1">
      <c r="A98" s="15" t="s">
        <v>401</v>
      </c>
      <c r="B98" s="28" t="s">
        <v>57</v>
      </c>
      <c r="C98" s="28" t="s">
        <v>391</v>
      </c>
      <c r="D98" s="204" t="s">
        <v>395</v>
      </c>
      <c r="E98" s="195" t="s">
        <v>33</v>
      </c>
      <c r="F98" s="206">
        <v>6</v>
      </c>
      <c r="G98" s="207"/>
      <c r="H98" s="38"/>
      <c r="I98" s="193"/>
    </row>
    <row r="99" spans="1:9" s="194" customFormat="1" ht="32.25" customHeight="1">
      <c r="A99" s="15" t="s">
        <v>469</v>
      </c>
      <c r="B99" s="28" t="s">
        <v>57</v>
      </c>
      <c r="C99" s="28" t="s">
        <v>431</v>
      </c>
      <c r="D99" s="199" t="s">
        <v>432</v>
      </c>
      <c r="E99" s="195" t="s">
        <v>68</v>
      </c>
      <c r="F99" s="206">
        <v>6</v>
      </c>
      <c r="G99" s="207"/>
      <c r="H99" s="38"/>
      <c r="I99" s="193"/>
    </row>
    <row r="100" spans="1:9" s="194" customFormat="1" ht="32.25" customHeight="1">
      <c r="A100" s="15" t="s">
        <v>470</v>
      </c>
      <c r="B100" s="28" t="s">
        <v>57</v>
      </c>
      <c r="C100" s="28" t="s">
        <v>435</v>
      </c>
      <c r="D100" s="217" t="s">
        <v>436</v>
      </c>
      <c r="E100" s="195" t="s">
        <v>14</v>
      </c>
      <c r="F100" s="206">
        <f>2.5*2</f>
        <v>5</v>
      </c>
      <c r="G100" s="207"/>
      <c r="H100" s="38"/>
      <c r="I100" s="193"/>
    </row>
    <row r="101" spans="1:9" s="194" customFormat="1">
      <c r="A101" s="15" t="s">
        <v>471</v>
      </c>
      <c r="B101" s="28" t="s">
        <v>57</v>
      </c>
      <c r="C101" s="28" t="s">
        <v>392</v>
      </c>
      <c r="D101" s="204" t="s">
        <v>396</v>
      </c>
      <c r="E101" s="195" t="s">
        <v>33</v>
      </c>
      <c r="F101" s="206">
        <v>2</v>
      </c>
      <c r="G101" s="207"/>
      <c r="H101" s="38"/>
      <c r="I101" s="193"/>
    </row>
    <row r="102" spans="1:9" s="27" customFormat="1" ht="15.75">
      <c r="A102" s="22"/>
      <c r="B102" s="22"/>
      <c r="C102" s="28"/>
      <c r="D102" s="44" t="s">
        <v>163</v>
      </c>
      <c r="E102" s="22"/>
      <c r="F102" s="22"/>
      <c r="G102" s="40"/>
      <c r="H102" s="35"/>
      <c r="I102" s="26"/>
    </row>
    <row r="103" spans="1:9" s="27" customFormat="1" ht="15.75">
      <c r="A103" s="51">
        <v>4</v>
      </c>
      <c r="B103" s="19"/>
      <c r="C103" s="19"/>
      <c r="D103" s="5" t="s">
        <v>61</v>
      </c>
      <c r="E103" s="19"/>
      <c r="F103" s="19"/>
      <c r="G103" s="46"/>
      <c r="H103" s="29"/>
      <c r="I103" s="26"/>
    </row>
    <row r="104" spans="1:9" s="27" customFormat="1" ht="15.75">
      <c r="A104" s="22" t="s">
        <v>60</v>
      </c>
      <c r="B104" s="28" t="s">
        <v>57</v>
      </c>
      <c r="C104" s="22" t="s">
        <v>65</v>
      </c>
      <c r="D104" s="16" t="s">
        <v>64</v>
      </c>
      <c r="E104" s="22" t="s">
        <v>14</v>
      </c>
      <c r="F104" s="41">
        <f>36.1+88.57+19.41+40.3+17.51+10.8</f>
        <v>212.69</v>
      </c>
      <c r="G104" s="40"/>
      <c r="H104" s="31"/>
      <c r="I104" s="26"/>
    </row>
    <row r="105" spans="1:9" s="27" customFormat="1" ht="15.75">
      <c r="A105" s="22" t="s">
        <v>62</v>
      </c>
      <c r="B105" s="14" t="s">
        <v>57</v>
      </c>
      <c r="C105" s="22" t="s">
        <v>67</v>
      </c>
      <c r="D105" s="16" t="s">
        <v>66</v>
      </c>
      <c r="E105" s="22" t="s">
        <v>68</v>
      </c>
      <c r="F105" s="41">
        <v>7</v>
      </c>
      <c r="G105" s="40"/>
      <c r="H105" s="31"/>
      <c r="I105" s="26"/>
    </row>
    <row r="106" spans="1:9" s="27" customFormat="1" ht="15.75">
      <c r="A106" s="22" t="s">
        <v>216</v>
      </c>
      <c r="B106" s="14" t="s">
        <v>57</v>
      </c>
      <c r="C106" s="37" t="s">
        <v>71</v>
      </c>
      <c r="D106" s="36" t="s">
        <v>215</v>
      </c>
      <c r="E106" s="22" t="s">
        <v>13</v>
      </c>
      <c r="F106" s="41">
        <f>212.69*0.4*0.2</f>
        <v>17.015200000000004</v>
      </c>
      <c r="G106" s="40"/>
      <c r="H106" s="31"/>
      <c r="I106" s="26"/>
    </row>
    <row r="107" spans="1:9" s="27" customFormat="1" ht="15.75">
      <c r="A107" s="22" t="s">
        <v>291</v>
      </c>
      <c r="B107" s="195" t="s">
        <v>57</v>
      </c>
      <c r="C107" s="195" t="s">
        <v>40</v>
      </c>
      <c r="D107" s="199" t="s">
        <v>295</v>
      </c>
      <c r="E107" s="195" t="s">
        <v>13</v>
      </c>
      <c r="F107" s="208">
        <f>(212.69*0.08*0.2)</f>
        <v>3.4030400000000003</v>
      </c>
      <c r="G107" s="203"/>
      <c r="H107" s="31"/>
      <c r="I107" s="26"/>
    </row>
    <row r="108" spans="1:9" s="27" customFormat="1" ht="15.75">
      <c r="A108" s="22" t="s">
        <v>292</v>
      </c>
      <c r="B108" s="28" t="s">
        <v>57</v>
      </c>
      <c r="C108" s="22" t="s">
        <v>70</v>
      </c>
      <c r="D108" s="16" t="s">
        <v>294</v>
      </c>
      <c r="E108" s="22" t="s">
        <v>13</v>
      </c>
      <c r="F108" s="208">
        <f>(212.69*0.08*0.2)+0.41</f>
        <v>3.8130400000000004</v>
      </c>
      <c r="G108" s="40"/>
      <c r="H108" s="31"/>
      <c r="I108" s="26"/>
    </row>
    <row r="109" spans="1:9" s="27" customFormat="1" ht="29.25">
      <c r="A109" s="22" t="s">
        <v>293</v>
      </c>
      <c r="B109" s="14" t="s">
        <v>57</v>
      </c>
      <c r="C109" s="28" t="s">
        <v>195</v>
      </c>
      <c r="D109" s="9" t="s">
        <v>196</v>
      </c>
      <c r="E109" s="28" t="s">
        <v>13</v>
      </c>
      <c r="F109" s="209">
        <f>(212.69*0.08*0.2)+0.41</f>
        <v>3.8130400000000004</v>
      </c>
      <c r="G109" s="40"/>
      <c r="H109" s="31"/>
      <c r="I109" s="26"/>
    </row>
    <row r="110" spans="1:9" s="27" customFormat="1" ht="15.75">
      <c r="A110" s="22" t="s">
        <v>305</v>
      </c>
      <c r="B110" s="14" t="s">
        <v>57</v>
      </c>
      <c r="C110" s="28" t="s">
        <v>403</v>
      </c>
      <c r="D110" s="9" t="s">
        <v>402</v>
      </c>
      <c r="E110" s="28" t="s">
        <v>12</v>
      </c>
      <c r="F110" s="209">
        <f>(0.4*0.4)*7</f>
        <v>1.1200000000000001</v>
      </c>
      <c r="G110" s="40"/>
      <c r="H110" s="31"/>
      <c r="I110" s="26"/>
    </row>
    <row r="111" spans="1:9" s="27" customFormat="1" ht="15.75">
      <c r="A111" s="22"/>
      <c r="B111" s="22"/>
      <c r="C111" s="22"/>
      <c r="D111" s="44" t="s">
        <v>162</v>
      </c>
      <c r="E111" s="22"/>
      <c r="F111" s="22"/>
      <c r="G111" s="40"/>
      <c r="H111" s="35"/>
      <c r="I111" s="26"/>
    </row>
    <row r="112" spans="1:9" s="27" customFormat="1" ht="15.75">
      <c r="A112" s="51">
        <v>5</v>
      </c>
      <c r="B112" s="19"/>
      <c r="C112" s="19"/>
      <c r="D112" s="5" t="s">
        <v>54</v>
      </c>
      <c r="E112" s="19"/>
      <c r="F112" s="19"/>
      <c r="G112" s="46"/>
      <c r="H112" s="29"/>
      <c r="I112" s="26"/>
    </row>
    <row r="113" spans="1:9" s="27" customFormat="1" ht="42.75">
      <c r="A113" s="22" t="s">
        <v>63</v>
      </c>
      <c r="B113" s="14" t="s">
        <v>57</v>
      </c>
      <c r="C113" s="11" t="s">
        <v>194</v>
      </c>
      <c r="D113" s="13" t="s">
        <v>191</v>
      </c>
      <c r="E113" s="28" t="s">
        <v>12</v>
      </c>
      <c r="F113" s="43">
        <v>3984.29</v>
      </c>
      <c r="G113" s="40"/>
      <c r="H113" s="31"/>
      <c r="I113" s="26"/>
    </row>
    <row r="114" spans="1:9" s="27" customFormat="1" ht="15.75" customHeight="1">
      <c r="A114" s="22" t="s">
        <v>83</v>
      </c>
      <c r="B114" s="14" t="s">
        <v>57</v>
      </c>
      <c r="C114" s="28" t="s">
        <v>35</v>
      </c>
      <c r="D114" s="9" t="s">
        <v>34</v>
      </c>
      <c r="E114" s="28" t="s">
        <v>12</v>
      </c>
      <c r="F114" s="43">
        <f>F113-F115-F116</f>
        <v>3729.66</v>
      </c>
      <c r="G114" s="40"/>
      <c r="H114" s="31"/>
      <c r="I114" s="26"/>
    </row>
    <row r="115" spans="1:9" s="27" customFormat="1" ht="15.75" customHeight="1">
      <c r="A115" s="22" t="s">
        <v>84</v>
      </c>
      <c r="B115" s="14" t="s">
        <v>57</v>
      </c>
      <c r="C115" s="28" t="s">
        <v>82</v>
      </c>
      <c r="D115" s="9" t="s">
        <v>79</v>
      </c>
      <c r="E115" s="28" t="s">
        <v>12</v>
      </c>
      <c r="F115" s="43">
        <v>136.85</v>
      </c>
      <c r="G115" s="40"/>
      <c r="H115" s="97"/>
      <c r="I115" s="98"/>
    </row>
    <row r="116" spans="1:9" s="27" customFormat="1" ht="15.75" customHeight="1">
      <c r="A116" s="22" t="s">
        <v>88</v>
      </c>
      <c r="B116" s="14" t="s">
        <v>57</v>
      </c>
      <c r="C116" s="28" t="s">
        <v>81</v>
      </c>
      <c r="D116" s="9" t="s">
        <v>80</v>
      </c>
      <c r="E116" s="28" t="s">
        <v>12</v>
      </c>
      <c r="F116" s="43">
        <v>117.78</v>
      </c>
      <c r="G116" s="40"/>
      <c r="H116" s="97"/>
      <c r="I116" s="99"/>
    </row>
    <row r="117" spans="1:9" s="27" customFormat="1" ht="15.75" customHeight="1">
      <c r="A117" s="22" t="s">
        <v>92</v>
      </c>
      <c r="B117" s="14" t="s">
        <v>57</v>
      </c>
      <c r="C117" s="28" t="s">
        <v>86</v>
      </c>
      <c r="D117" s="9" t="s">
        <v>85</v>
      </c>
      <c r="E117" s="28" t="s">
        <v>68</v>
      </c>
      <c r="F117" s="43">
        <v>6</v>
      </c>
      <c r="G117" s="40"/>
      <c r="H117" s="97"/>
      <c r="I117" s="99"/>
    </row>
    <row r="118" spans="1:9" s="27" customFormat="1" ht="15.75" customHeight="1">
      <c r="A118" s="22" t="s">
        <v>93</v>
      </c>
      <c r="B118" s="14" t="s">
        <v>57</v>
      </c>
      <c r="C118" s="28" t="s">
        <v>244</v>
      </c>
      <c r="D118" s="9" t="s">
        <v>243</v>
      </c>
      <c r="E118" s="28" t="s">
        <v>68</v>
      </c>
      <c r="F118" s="43">
        <v>6</v>
      </c>
      <c r="G118" s="40"/>
      <c r="H118" s="97"/>
      <c r="I118" s="99"/>
    </row>
    <row r="119" spans="1:9" s="27" customFormat="1" ht="15.75" customHeight="1">
      <c r="A119" s="22"/>
      <c r="B119" s="14"/>
      <c r="C119" s="28"/>
      <c r="D119" s="44" t="s">
        <v>170</v>
      </c>
      <c r="E119" s="28"/>
      <c r="F119" s="43"/>
      <c r="G119" s="40"/>
      <c r="H119" s="35"/>
      <c r="I119" s="8"/>
    </row>
    <row r="120" spans="1:9">
      <c r="A120" s="52">
        <v>6</v>
      </c>
      <c r="B120" s="5"/>
      <c r="C120" s="5"/>
      <c r="D120" s="5" t="s">
        <v>245</v>
      </c>
      <c r="E120" s="48"/>
      <c r="F120" s="49"/>
      <c r="G120" s="50"/>
      <c r="H120" s="32"/>
      <c r="I120" s="8"/>
    </row>
    <row r="121" spans="1:9" s="27" customFormat="1">
      <c r="A121" s="15" t="s">
        <v>164</v>
      </c>
      <c r="B121" s="28" t="s">
        <v>57</v>
      </c>
      <c r="C121" s="28" t="s">
        <v>284</v>
      </c>
      <c r="D121" s="16" t="s">
        <v>285</v>
      </c>
      <c r="E121" s="15" t="s">
        <v>12</v>
      </c>
      <c r="F121" s="220">
        <f>(11.66*11)+(2*1.2)</f>
        <v>130.66</v>
      </c>
      <c r="G121" s="31"/>
      <c r="H121" s="31"/>
      <c r="I121" s="26"/>
    </row>
    <row r="122" spans="1:9" s="27" customFormat="1" ht="29.25">
      <c r="A122" s="15" t="s">
        <v>165</v>
      </c>
      <c r="B122" s="28" t="s">
        <v>57</v>
      </c>
      <c r="C122" s="15" t="s">
        <v>89</v>
      </c>
      <c r="D122" s="47" t="s">
        <v>445</v>
      </c>
      <c r="E122" s="15" t="s">
        <v>12</v>
      </c>
      <c r="F122" s="33">
        <f>(128.26*0.5)+2.63+(0.8*2.1*6*2)</f>
        <v>86.919999999999987</v>
      </c>
      <c r="G122" s="31"/>
      <c r="H122" s="31"/>
      <c r="I122" s="26"/>
    </row>
    <row r="123" spans="1:9" s="27" customFormat="1">
      <c r="A123" s="15" t="s">
        <v>166</v>
      </c>
      <c r="B123" s="28" t="s">
        <v>57</v>
      </c>
      <c r="C123" s="15" t="s">
        <v>90</v>
      </c>
      <c r="D123" s="47" t="s">
        <v>91</v>
      </c>
      <c r="E123" s="15" t="s">
        <v>12</v>
      </c>
      <c r="F123" s="33">
        <f>(33.56*3)+((3.65+2.71)*14)+(27.8*2)</f>
        <v>245.32</v>
      </c>
      <c r="G123" s="31"/>
      <c r="H123" s="31"/>
      <c r="I123" s="8"/>
    </row>
    <row r="124" spans="1:9" s="27" customFormat="1">
      <c r="A124" s="15" t="s">
        <v>167</v>
      </c>
      <c r="B124" s="28" t="s">
        <v>57</v>
      </c>
      <c r="C124" s="15" t="s">
        <v>94</v>
      </c>
      <c r="D124" s="16" t="s">
        <v>442</v>
      </c>
      <c r="E124" s="15" t="s">
        <v>12</v>
      </c>
      <c r="F124" s="33">
        <f>(49.6*3)+(1338.87*0.12*0.4)+33.544</f>
        <v>246.60975999999999</v>
      </c>
      <c r="G124" s="31"/>
      <c r="H124" s="31"/>
      <c r="I124" s="26"/>
    </row>
    <row r="125" spans="1:9" s="27" customFormat="1">
      <c r="A125" s="15" t="s">
        <v>168</v>
      </c>
      <c r="B125" s="28" t="s">
        <v>57</v>
      </c>
      <c r="C125" s="15" t="s">
        <v>446</v>
      </c>
      <c r="D125" s="16" t="s">
        <v>447</v>
      </c>
      <c r="E125" s="15" t="s">
        <v>12</v>
      </c>
      <c r="F125" s="33">
        <f>27.8*2</f>
        <v>55.6</v>
      </c>
      <c r="G125" s="221"/>
      <c r="H125" s="31"/>
      <c r="I125" s="26"/>
    </row>
    <row r="126" spans="1:9" s="27" customFormat="1" ht="19.5" customHeight="1">
      <c r="A126" s="15" t="s">
        <v>523</v>
      </c>
      <c r="B126" s="28" t="s">
        <v>57</v>
      </c>
      <c r="C126" s="28" t="s">
        <v>232</v>
      </c>
      <c r="D126" s="12" t="s">
        <v>231</v>
      </c>
      <c r="E126" s="28" t="s">
        <v>12</v>
      </c>
      <c r="F126" s="45">
        <f>7.7*4</f>
        <v>30.8</v>
      </c>
      <c r="G126" s="31"/>
      <c r="H126" s="31"/>
      <c r="I126" s="26"/>
    </row>
    <row r="127" spans="1:9" s="27" customFormat="1">
      <c r="A127" s="15" t="s">
        <v>223</v>
      </c>
      <c r="B127" s="28" t="s">
        <v>57</v>
      </c>
      <c r="C127" s="28" t="s">
        <v>236</v>
      </c>
      <c r="D127" s="12" t="s">
        <v>235</v>
      </c>
      <c r="E127" s="28" t="s">
        <v>12</v>
      </c>
      <c r="F127" s="45">
        <f>30.8+(0.25*23.4)</f>
        <v>36.65</v>
      </c>
      <c r="G127" s="31"/>
      <c r="H127" s="31"/>
      <c r="I127" s="26"/>
    </row>
    <row r="128" spans="1:9" s="27" customFormat="1">
      <c r="A128" s="15" t="s">
        <v>229</v>
      </c>
      <c r="B128" s="28" t="s">
        <v>57</v>
      </c>
      <c r="C128" s="28" t="s">
        <v>239</v>
      </c>
      <c r="D128" s="12" t="s">
        <v>237</v>
      </c>
      <c r="E128" s="28" t="s">
        <v>12</v>
      </c>
      <c r="F128" s="45">
        <f>32.34+(0.25*23.8)+(54.73*0.25)</f>
        <v>51.972500000000004</v>
      </c>
      <c r="G128" s="31"/>
      <c r="H128" s="31"/>
      <c r="I128" s="26"/>
    </row>
    <row r="129" spans="1:20" s="27" customFormat="1" ht="29.25">
      <c r="A129" s="15" t="s">
        <v>233</v>
      </c>
      <c r="B129" s="28" t="s">
        <v>57</v>
      </c>
      <c r="C129" s="28" t="s">
        <v>347</v>
      </c>
      <c r="D129" s="12" t="s">
        <v>346</v>
      </c>
      <c r="E129" s="28" t="s">
        <v>14</v>
      </c>
      <c r="F129" s="45">
        <f>1.75*2</f>
        <v>3.5</v>
      </c>
      <c r="G129" s="31"/>
      <c r="H129" s="31"/>
      <c r="I129" s="26"/>
    </row>
    <row r="130" spans="1:20" s="27" customFormat="1" ht="29.25">
      <c r="A130" s="15" t="s">
        <v>234</v>
      </c>
      <c r="B130" s="28" t="s">
        <v>57</v>
      </c>
      <c r="C130" s="28" t="s">
        <v>355</v>
      </c>
      <c r="D130" s="12" t="s">
        <v>354</v>
      </c>
      <c r="E130" s="28" t="s">
        <v>12</v>
      </c>
      <c r="F130" s="45">
        <f>((7*0.25)*4+(1.6*0.25)*4)</f>
        <v>8.6</v>
      </c>
      <c r="G130" s="31"/>
      <c r="H130" s="31"/>
      <c r="I130" s="26"/>
    </row>
    <row r="131" spans="1:20" s="27" customFormat="1" ht="29.25">
      <c r="A131" s="15" t="s">
        <v>238</v>
      </c>
      <c r="B131" s="28" t="s">
        <v>57</v>
      </c>
      <c r="C131" s="28" t="s">
        <v>297</v>
      </c>
      <c r="D131" s="12" t="s">
        <v>296</v>
      </c>
      <c r="E131" s="28" t="s">
        <v>33</v>
      </c>
      <c r="F131" s="45">
        <v>4</v>
      </c>
      <c r="G131" s="31"/>
      <c r="H131" s="31"/>
      <c r="I131" s="26"/>
    </row>
    <row r="132" spans="1:20">
      <c r="A132" s="15" t="s">
        <v>240</v>
      </c>
      <c r="B132" s="28" t="s">
        <v>57</v>
      </c>
      <c r="C132" s="195" t="s">
        <v>357</v>
      </c>
      <c r="D132" s="204" t="s">
        <v>356</v>
      </c>
      <c r="E132" s="195" t="s">
        <v>12</v>
      </c>
      <c r="F132" s="206">
        <f>31.21</f>
        <v>31.21</v>
      </c>
      <c r="G132" s="207"/>
      <c r="H132" s="31"/>
      <c r="I132" s="8"/>
    </row>
    <row r="133" spans="1:20" ht="29.25">
      <c r="A133" s="15" t="s">
        <v>248</v>
      </c>
      <c r="B133" s="28" t="s">
        <v>57</v>
      </c>
      <c r="C133" s="195" t="s">
        <v>406</v>
      </c>
      <c r="D133" s="204" t="s">
        <v>405</v>
      </c>
      <c r="E133" s="195" t="s">
        <v>33</v>
      </c>
      <c r="F133" s="206">
        <v>2</v>
      </c>
      <c r="G133" s="207"/>
      <c r="H133" s="31"/>
      <c r="I133" s="8"/>
    </row>
    <row r="134" spans="1:20">
      <c r="A134" s="15" t="s">
        <v>353</v>
      </c>
      <c r="B134" s="28" t="s">
        <v>57</v>
      </c>
      <c r="C134" s="195" t="s">
        <v>408</v>
      </c>
      <c r="D134" s="204" t="s">
        <v>407</v>
      </c>
      <c r="E134" s="195" t="s">
        <v>33</v>
      </c>
      <c r="F134" s="206">
        <v>2</v>
      </c>
      <c r="G134" s="207"/>
      <c r="H134" s="31"/>
      <c r="I134" s="8"/>
    </row>
    <row r="135" spans="1:20">
      <c r="A135" s="15" t="s">
        <v>449</v>
      </c>
      <c r="B135" s="28" t="s">
        <v>57</v>
      </c>
      <c r="C135" s="195" t="s">
        <v>450</v>
      </c>
      <c r="D135" s="204" t="s">
        <v>451</v>
      </c>
      <c r="E135" s="195" t="s">
        <v>12</v>
      </c>
      <c r="F135" s="206">
        <f>(0.8*2.1)*2</f>
        <v>3.3600000000000003</v>
      </c>
      <c r="G135" s="207"/>
      <c r="H135" s="97"/>
      <c r="I135" s="237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</row>
    <row r="136" spans="1:20">
      <c r="A136" s="15"/>
      <c r="B136" s="23"/>
      <c r="C136" s="23"/>
      <c r="D136" s="44" t="s">
        <v>169</v>
      </c>
      <c r="E136" s="16"/>
      <c r="F136" s="15"/>
      <c r="G136" s="31"/>
      <c r="H136" s="230"/>
      <c r="I136" s="237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</row>
    <row r="137" spans="1:20">
      <c r="A137" s="15"/>
      <c r="B137" s="23"/>
      <c r="C137" s="23"/>
      <c r="D137" s="44"/>
      <c r="E137" s="16"/>
      <c r="F137" s="15"/>
      <c r="G137" s="31"/>
      <c r="H137" s="97"/>
      <c r="I137" s="238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</row>
    <row r="138" spans="1:20" ht="15.75">
      <c r="A138" s="19"/>
      <c r="B138" s="19"/>
      <c r="C138" s="19"/>
      <c r="D138" s="17" t="s">
        <v>208</v>
      </c>
      <c r="E138" s="19"/>
      <c r="F138" s="19"/>
      <c r="G138" s="20"/>
      <c r="H138" s="231"/>
      <c r="I138" s="237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</row>
    <row r="139" spans="1:20" ht="15.75">
      <c r="A139" s="18"/>
      <c r="B139" s="19"/>
      <c r="C139" s="19"/>
      <c r="D139" s="17" t="s">
        <v>11</v>
      </c>
      <c r="E139" s="19"/>
      <c r="F139" s="19"/>
      <c r="G139" s="21"/>
      <c r="H139" s="231"/>
      <c r="I139" s="238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</row>
    <row r="140" spans="1:20" ht="15.75">
      <c r="A140" s="18"/>
      <c r="B140" s="19"/>
      <c r="C140" s="19"/>
      <c r="D140" s="17" t="s">
        <v>25</v>
      </c>
      <c r="E140" s="19"/>
      <c r="F140" s="19"/>
      <c r="G140" s="20"/>
      <c r="H140" s="231"/>
      <c r="I140" s="238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</row>
    <row r="141" spans="1:20" ht="15" customHeight="1">
      <c r="A141" s="5"/>
      <c r="B141" s="5"/>
      <c r="C141" s="5"/>
      <c r="D141" s="5" t="s">
        <v>512</v>
      </c>
      <c r="E141" s="5"/>
      <c r="F141" s="5"/>
      <c r="G141" s="5"/>
      <c r="H141" s="232"/>
      <c r="I141" s="239"/>
      <c r="J141" s="234"/>
      <c r="K141" s="235"/>
      <c r="L141" s="234"/>
      <c r="M141" s="234"/>
      <c r="N141" s="235"/>
      <c r="O141" s="234"/>
      <c r="P141" s="234"/>
      <c r="Q141" s="236"/>
      <c r="R141" s="233"/>
      <c r="S141" s="233"/>
      <c r="T141" s="233"/>
    </row>
    <row r="142" spans="1:20">
      <c r="A142" s="25"/>
      <c r="B142" s="25"/>
      <c r="C142" s="25"/>
      <c r="D142" s="25"/>
      <c r="E142" s="25"/>
      <c r="F142" s="25"/>
      <c r="G142" s="25"/>
      <c r="H142" s="221"/>
      <c r="I142" s="8"/>
      <c r="J142" s="233"/>
      <c r="K142" s="233"/>
      <c r="L142" s="233"/>
      <c r="M142" s="233"/>
      <c r="N142" s="233"/>
      <c r="O142" s="233"/>
      <c r="P142" s="233"/>
      <c r="Q142" s="233"/>
      <c r="R142" s="233"/>
      <c r="S142" s="233"/>
      <c r="T142" s="233"/>
    </row>
    <row r="143" spans="1:20">
      <c r="E143" s="262"/>
      <c r="F143" s="262"/>
      <c r="G143" s="262"/>
      <c r="H143" s="262"/>
      <c r="I143" s="238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</row>
    <row r="144" spans="1:20">
      <c r="E144" s="263" t="s">
        <v>527</v>
      </c>
      <c r="F144" s="263"/>
      <c r="G144" s="263"/>
      <c r="H144" s="263"/>
      <c r="I144" s="238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</row>
    <row r="145" spans="1:20">
      <c r="A145" s="53"/>
      <c r="B145" s="53"/>
      <c r="C145" s="53"/>
      <c r="D145" s="53"/>
      <c r="E145" s="264"/>
      <c r="F145" s="264"/>
      <c r="G145" s="264"/>
      <c r="H145" s="264"/>
      <c r="I145" s="238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</row>
    <row r="146" spans="1:20">
      <c r="E146" s="263"/>
      <c r="F146" s="263"/>
      <c r="G146" s="263"/>
      <c r="H146" s="263"/>
      <c r="I146" s="243"/>
      <c r="J146" s="233"/>
      <c r="K146" s="233"/>
      <c r="L146" s="233"/>
      <c r="M146" s="233"/>
      <c r="N146" s="233"/>
      <c r="O146" s="233"/>
      <c r="P146" s="233"/>
      <c r="Q146" s="233"/>
      <c r="R146" s="233"/>
      <c r="S146" s="233"/>
      <c r="T146" s="233"/>
    </row>
  </sheetData>
  <mergeCells count="10">
    <mergeCell ref="E146:H146"/>
    <mergeCell ref="E13:H13"/>
    <mergeCell ref="B11:H11"/>
    <mergeCell ref="B12:H12"/>
    <mergeCell ref="A10:H10"/>
    <mergeCell ref="A1:H8"/>
    <mergeCell ref="E143:H143"/>
    <mergeCell ref="E144:H144"/>
    <mergeCell ref="E145:H145"/>
    <mergeCell ref="A9:H9"/>
  </mergeCells>
  <pageMargins left="0.51181102362204722" right="0.51181102362204722" top="0.78740157480314965" bottom="0.78740157480314965" header="0.31496062992125984" footer="0.31496062992125984"/>
  <pageSetup paperSize="9" scale="77" fitToHeight="0" orientation="landscape" r:id="rId1"/>
  <headerFooter>
    <oddFooter xml:space="preserve">&amp;C&amp;"Arial,Normal"&amp;8Prefeitura Municipal da Estância Turística de Paraguaçu Paulista - Rua Polidoro Simões, 533 (sede provisória) CEP 19.700-000Fone: (18)3361-9100 - Fax: (18)3361-1331 – Estância Turística de Paraguaçu Paulista - SP </oddFooter>
  </headerFooter>
  <rowBreaks count="7" manualBreakCount="7">
    <brk id="24" max="7" man="1"/>
    <brk id="36" max="7" man="1"/>
    <brk id="54" max="7" man="1"/>
    <brk id="71" max="7" man="1"/>
    <brk id="90" max="7" man="1"/>
    <brk id="111" max="7" man="1"/>
    <brk id="130" max="7" man="1"/>
  </rowBreaks>
  <colBreaks count="1" manualBreakCount="1">
    <brk id="3" max="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0"/>
  <sheetViews>
    <sheetView view="pageBreakPreview" topLeftCell="A124" zoomScale="90" zoomScaleNormal="150" zoomScaleSheetLayoutView="90" workbookViewId="0">
      <selection activeCell="E139" sqref="E139:H139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5.28515625" customWidth="1"/>
    <col min="8" max="8" width="29.42578125" customWidth="1"/>
    <col min="9" max="9" width="20.28515625" customWidth="1"/>
    <col min="10" max="10" width="12.7109375" bestFit="1" customWidth="1"/>
    <col min="12" max="12" width="17.85546875" customWidth="1"/>
    <col min="13" max="13" width="13.7109375" bestFit="1" customWidth="1"/>
  </cols>
  <sheetData>
    <row r="1" spans="1:9" ht="15" customHeight="1">
      <c r="A1" s="256" t="s">
        <v>27</v>
      </c>
      <c r="B1" s="257"/>
      <c r="C1" s="257"/>
      <c r="D1" s="257"/>
      <c r="E1" s="257"/>
      <c r="F1" s="257"/>
      <c r="G1" s="257"/>
      <c r="H1" s="258"/>
    </row>
    <row r="2" spans="1:9" ht="15" customHeight="1">
      <c r="A2" s="259"/>
      <c r="B2" s="260"/>
      <c r="C2" s="260"/>
      <c r="D2" s="260"/>
      <c r="E2" s="260"/>
      <c r="F2" s="260"/>
      <c r="G2" s="260"/>
      <c r="H2" s="261"/>
    </row>
    <row r="3" spans="1:9" ht="15" customHeight="1">
      <c r="A3" s="259"/>
      <c r="B3" s="260"/>
      <c r="C3" s="260"/>
      <c r="D3" s="260"/>
      <c r="E3" s="260"/>
      <c r="F3" s="260"/>
      <c r="G3" s="260"/>
      <c r="H3" s="261"/>
    </row>
    <row r="4" spans="1:9" ht="15" customHeight="1">
      <c r="A4" s="259"/>
      <c r="B4" s="260"/>
      <c r="C4" s="260"/>
      <c r="D4" s="260"/>
      <c r="E4" s="260"/>
      <c r="F4" s="260"/>
      <c r="G4" s="260"/>
      <c r="H4" s="261"/>
    </row>
    <row r="5" spans="1:9" ht="15" customHeight="1">
      <c r="A5" s="259"/>
      <c r="B5" s="260"/>
      <c r="C5" s="260"/>
      <c r="D5" s="260"/>
      <c r="E5" s="260"/>
      <c r="F5" s="260"/>
      <c r="G5" s="260"/>
      <c r="H5" s="261"/>
    </row>
    <row r="6" spans="1:9" ht="15" customHeight="1">
      <c r="A6" s="259"/>
      <c r="B6" s="260"/>
      <c r="C6" s="260"/>
      <c r="D6" s="260"/>
      <c r="E6" s="260"/>
      <c r="F6" s="260"/>
      <c r="G6" s="260"/>
      <c r="H6" s="261"/>
    </row>
    <row r="7" spans="1:9" ht="8.25" customHeight="1">
      <c r="A7" s="259"/>
      <c r="B7" s="260"/>
      <c r="C7" s="260"/>
      <c r="D7" s="260"/>
      <c r="E7" s="260"/>
      <c r="F7" s="260"/>
      <c r="G7" s="260"/>
      <c r="H7" s="261"/>
    </row>
    <row r="8" spans="1:9" ht="6.75" customHeight="1">
      <c r="A8" s="259"/>
      <c r="B8" s="260"/>
      <c r="C8" s="260"/>
      <c r="D8" s="260"/>
      <c r="E8" s="260"/>
      <c r="F8" s="260"/>
      <c r="G8" s="260"/>
      <c r="H8" s="261"/>
    </row>
    <row r="9" spans="1:9" ht="15" customHeight="1">
      <c r="A9" s="265"/>
      <c r="B9" s="266"/>
      <c r="C9" s="266"/>
      <c r="D9" s="266"/>
      <c r="E9" s="266"/>
      <c r="F9" s="266"/>
      <c r="G9" s="266"/>
      <c r="H9" s="267"/>
    </row>
    <row r="10" spans="1:9" ht="15" customHeight="1">
      <c r="A10" s="272" t="s">
        <v>100</v>
      </c>
      <c r="B10" s="273"/>
      <c r="C10" s="273"/>
      <c r="D10" s="273"/>
      <c r="E10" s="273"/>
      <c r="F10" s="273"/>
      <c r="G10" s="273"/>
      <c r="H10" s="274"/>
    </row>
    <row r="11" spans="1:9" ht="15" customHeight="1">
      <c r="A11" s="2"/>
      <c r="B11" s="270" t="s">
        <v>77</v>
      </c>
      <c r="C11" s="270"/>
      <c r="D11" s="270"/>
      <c r="E11" s="270"/>
      <c r="F11" s="270"/>
      <c r="G11" s="270"/>
      <c r="H11" s="271"/>
    </row>
    <row r="12" spans="1:9" ht="15" customHeight="1">
      <c r="A12" s="2"/>
      <c r="B12" s="270" t="s">
        <v>98</v>
      </c>
      <c r="C12" s="270"/>
      <c r="D12" s="270"/>
      <c r="E12" s="270"/>
      <c r="F12" s="270"/>
      <c r="G12" s="270"/>
      <c r="H12" s="271"/>
    </row>
    <row r="13" spans="1:9" ht="15" customHeight="1">
      <c r="A13" s="3"/>
      <c r="B13" s="4" t="s">
        <v>55</v>
      </c>
      <c r="C13" s="4"/>
      <c r="D13" s="4"/>
      <c r="E13" s="268" t="s">
        <v>56</v>
      </c>
      <c r="F13" s="268"/>
      <c r="G13" s="268"/>
      <c r="H13" s="269"/>
    </row>
    <row r="14" spans="1:9" ht="25.5">
      <c r="A14" s="6" t="s">
        <v>0</v>
      </c>
      <c r="B14" s="7" t="s">
        <v>1</v>
      </c>
      <c r="C14" s="7" t="s">
        <v>2</v>
      </c>
      <c r="D14" s="6" t="s">
        <v>3</v>
      </c>
      <c r="E14" s="6" t="s">
        <v>4</v>
      </c>
      <c r="F14" s="6" t="s">
        <v>5</v>
      </c>
      <c r="G14" s="316" t="s">
        <v>100</v>
      </c>
      <c r="H14" s="317"/>
    </row>
    <row r="15" spans="1:9" ht="3.75" customHeight="1">
      <c r="A15" s="1"/>
      <c r="B15" s="1"/>
      <c r="C15" s="1"/>
      <c r="D15" s="1"/>
      <c r="E15" s="1"/>
      <c r="F15" s="59"/>
      <c r="G15" s="318"/>
      <c r="H15" s="318"/>
    </row>
    <row r="16" spans="1:9">
      <c r="A16" s="24"/>
      <c r="B16" s="1"/>
      <c r="C16" s="1"/>
      <c r="D16" s="1"/>
      <c r="E16" s="1"/>
      <c r="F16" s="1"/>
      <c r="G16" s="319"/>
      <c r="H16" s="320"/>
      <c r="I16" s="10"/>
    </row>
    <row r="17" spans="1:9">
      <c r="A17" s="54">
        <v>1</v>
      </c>
      <c r="B17" s="5"/>
      <c r="C17" s="5"/>
      <c r="D17" s="5" t="s">
        <v>183</v>
      </c>
      <c r="E17" s="55"/>
      <c r="F17" s="55"/>
      <c r="G17" s="310"/>
      <c r="H17" s="311"/>
      <c r="I17" s="8"/>
    </row>
    <row r="18" spans="1:9" ht="34.5" customHeight="1">
      <c r="A18" s="15" t="s">
        <v>9</v>
      </c>
      <c r="B18" s="28" t="s">
        <v>57</v>
      </c>
      <c r="C18" s="195" t="s">
        <v>134</v>
      </c>
      <c r="D18" s="224" t="s">
        <v>135</v>
      </c>
      <c r="E18" s="197" t="s">
        <v>12</v>
      </c>
      <c r="F18" s="198">
        <v>6</v>
      </c>
      <c r="G18" s="282" t="s">
        <v>281</v>
      </c>
      <c r="H18" s="283"/>
      <c r="I18" s="8"/>
    </row>
    <row r="19" spans="1:9" s="27" customFormat="1" ht="43.5" customHeight="1">
      <c r="A19" s="15" t="s">
        <v>22</v>
      </c>
      <c r="B19" s="28" t="s">
        <v>57</v>
      </c>
      <c r="C19" s="195" t="s">
        <v>29</v>
      </c>
      <c r="D19" s="222" t="s">
        <v>28</v>
      </c>
      <c r="E19" s="195" t="s">
        <v>12</v>
      </c>
      <c r="F19" s="200">
        <v>2714.06</v>
      </c>
      <c r="G19" s="290" t="s">
        <v>358</v>
      </c>
      <c r="H19" s="291"/>
      <c r="I19" s="26"/>
    </row>
    <row r="20" spans="1:9" s="27" customFormat="1" ht="37.5" customHeight="1">
      <c r="A20" s="15" t="s">
        <v>30</v>
      </c>
      <c r="B20" s="195" t="s">
        <v>57</v>
      </c>
      <c r="C20" s="195" t="s">
        <v>360</v>
      </c>
      <c r="D20" s="222" t="s">
        <v>359</v>
      </c>
      <c r="E20" s="195" t="s">
        <v>14</v>
      </c>
      <c r="F20" s="200">
        <f>41.71+100</f>
        <v>141.71</v>
      </c>
      <c r="G20" s="290" t="s">
        <v>377</v>
      </c>
      <c r="H20" s="291"/>
      <c r="I20" s="26"/>
    </row>
    <row r="21" spans="1:9" s="27" customFormat="1" ht="48" customHeight="1">
      <c r="A21" s="15" t="s">
        <v>31</v>
      </c>
      <c r="B21" s="28" t="s">
        <v>57</v>
      </c>
      <c r="C21" s="195" t="s">
        <v>212</v>
      </c>
      <c r="D21" s="222" t="s">
        <v>287</v>
      </c>
      <c r="E21" s="195" t="s">
        <v>12</v>
      </c>
      <c r="F21" s="200">
        <v>183.25</v>
      </c>
      <c r="G21" s="290" t="s">
        <v>288</v>
      </c>
      <c r="H21" s="291"/>
      <c r="I21" s="26"/>
    </row>
    <row r="22" spans="1:9" s="27" customFormat="1" ht="44.25" customHeight="1">
      <c r="A22" s="15" t="s">
        <v>32</v>
      </c>
      <c r="B22" s="195" t="s">
        <v>57</v>
      </c>
      <c r="C22" s="195" t="s">
        <v>365</v>
      </c>
      <c r="D22" s="225" t="s">
        <v>366</v>
      </c>
      <c r="E22" s="195" t="s">
        <v>12</v>
      </c>
      <c r="F22" s="200">
        <f>1277.2</f>
        <v>1277.2</v>
      </c>
      <c r="G22" s="290" t="s">
        <v>246</v>
      </c>
      <c r="H22" s="291"/>
      <c r="I22" s="26"/>
    </row>
    <row r="23" spans="1:9" s="27" customFormat="1" ht="30" customHeight="1">
      <c r="A23" s="15" t="s">
        <v>211</v>
      </c>
      <c r="B23" s="28" t="s">
        <v>57</v>
      </c>
      <c r="C23" s="195" t="s">
        <v>225</v>
      </c>
      <c r="D23" s="225" t="s">
        <v>224</v>
      </c>
      <c r="E23" s="195" t="s">
        <v>227</v>
      </c>
      <c r="F23" s="200">
        <v>12</v>
      </c>
      <c r="G23" s="300" t="s">
        <v>289</v>
      </c>
      <c r="H23" s="301"/>
      <c r="I23" s="26"/>
    </row>
    <row r="24" spans="1:9" s="27" customFormat="1" ht="91.5" customHeight="1">
      <c r="A24" s="15" t="s">
        <v>221</v>
      </c>
      <c r="B24" s="195" t="s">
        <v>57</v>
      </c>
      <c r="C24" s="195" t="s">
        <v>242</v>
      </c>
      <c r="D24" s="225" t="s">
        <v>378</v>
      </c>
      <c r="E24" s="195" t="s">
        <v>13</v>
      </c>
      <c r="F24" s="200">
        <f>(183.25*0.06)+(65.7*0.45*0.02)+2.89+(0.3*0.02*22.61)+((71.02*2)/2)+((9.23+20.83+20.46+9.23)*0.5*0.02)</f>
        <v>86.229459999999989</v>
      </c>
      <c r="G24" s="290" t="s">
        <v>453</v>
      </c>
      <c r="H24" s="291"/>
      <c r="I24" s="26"/>
    </row>
    <row r="25" spans="1:9" s="27" customFormat="1" ht="30" customHeight="1">
      <c r="A25" s="15" t="s">
        <v>226</v>
      </c>
      <c r="B25" s="195" t="s">
        <v>57</v>
      </c>
      <c r="C25" s="195" t="s">
        <v>311</v>
      </c>
      <c r="D25" s="225" t="s">
        <v>367</v>
      </c>
      <c r="E25" s="195" t="s">
        <v>13</v>
      </c>
      <c r="F25" s="200">
        <f>(0.9*2.2*2)+(12.65*0.4*8)</f>
        <v>44.440000000000005</v>
      </c>
      <c r="G25" s="290" t="s">
        <v>524</v>
      </c>
      <c r="H25" s="291"/>
      <c r="I25" s="26"/>
    </row>
    <row r="26" spans="1:9" s="27" customFormat="1" ht="60.75" customHeight="1">
      <c r="A26" s="15" t="s">
        <v>241</v>
      </c>
      <c r="B26" s="28" t="s">
        <v>57</v>
      </c>
      <c r="C26" s="195" t="s">
        <v>308</v>
      </c>
      <c r="D26" s="225" t="s">
        <v>310</v>
      </c>
      <c r="E26" s="195" t="s">
        <v>12</v>
      </c>
      <c r="F26" s="200">
        <f>((2.87+2.87+16.87)*0.3)+(65.7*0.45)+((9.23+20.83+20.46+9.23)*0.5)</f>
        <v>66.222999999999999</v>
      </c>
      <c r="G26" s="290" t="s">
        <v>454</v>
      </c>
      <c r="H26" s="291"/>
      <c r="I26" s="26"/>
    </row>
    <row r="27" spans="1:9" s="27" customFormat="1" ht="28.5" customHeight="1">
      <c r="A27" s="15" t="s">
        <v>286</v>
      </c>
      <c r="B27" s="28" t="s">
        <v>57</v>
      </c>
      <c r="C27" s="195" t="s">
        <v>345</v>
      </c>
      <c r="D27" s="225" t="s">
        <v>404</v>
      </c>
      <c r="E27" s="195" t="s">
        <v>12</v>
      </c>
      <c r="F27" s="200">
        <f>(0.8*2.1)*2</f>
        <v>3.3600000000000003</v>
      </c>
      <c r="G27" s="290" t="s">
        <v>416</v>
      </c>
      <c r="H27" s="291"/>
      <c r="I27" s="26"/>
    </row>
    <row r="28" spans="1:9" s="27" customFormat="1" ht="28.5" customHeight="1">
      <c r="A28" s="15" t="s">
        <v>309</v>
      </c>
      <c r="B28" s="28" t="s">
        <v>57</v>
      </c>
      <c r="C28" s="213" t="s">
        <v>362</v>
      </c>
      <c r="D28" s="226" t="s">
        <v>361</v>
      </c>
      <c r="E28" s="195" t="s">
        <v>13</v>
      </c>
      <c r="F28" s="200">
        <f>93.87*0.12</f>
        <v>11.2644</v>
      </c>
      <c r="G28" s="290" t="s">
        <v>417</v>
      </c>
      <c r="H28" s="291"/>
      <c r="I28" s="26"/>
    </row>
    <row r="29" spans="1:9" s="27" customFormat="1" ht="72" customHeight="1">
      <c r="A29" s="15" t="s">
        <v>370</v>
      </c>
      <c r="B29" s="28" t="s">
        <v>57</v>
      </c>
      <c r="C29" s="195" t="s">
        <v>364</v>
      </c>
      <c r="D29" s="222" t="s">
        <v>363</v>
      </c>
      <c r="E29" s="195" t="s">
        <v>13</v>
      </c>
      <c r="F29" s="200">
        <f>((11.72+7.3+9.27+1.25+5.15+1.52+1.53+3.58+4.86+6.5+1.55+5.05+1.27+11.22+8.95+6.88+9.05)+(11.9*2)+8)*(0.15*0.15)</f>
        <v>2.8901249999999998</v>
      </c>
      <c r="G29" s="290" t="s">
        <v>418</v>
      </c>
      <c r="H29" s="291"/>
      <c r="I29" s="26"/>
    </row>
    <row r="30" spans="1:9" s="27" customFormat="1" ht="28.5" customHeight="1">
      <c r="A30" s="15" t="s">
        <v>371</v>
      </c>
      <c r="B30" s="28" t="s">
        <v>57</v>
      </c>
      <c r="C30" s="195" t="s">
        <v>369</v>
      </c>
      <c r="D30" s="222" t="s">
        <v>368</v>
      </c>
      <c r="E30" s="195" t="s">
        <v>14</v>
      </c>
      <c r="F30" s="200">
        <f>(7.77+3.4+3.52)*2+(13.4+1.2)</f>
        <v>43.98</v>
      </c>
      <c r="G30" s="290" t="s">
        <v>419</v>
      </c>
      <c r="H30" s="291"/>
      <c r="I30" s="26"/>
    </row>
    <row r="31" spans="1:9" s="27" customFormat="1" ht="28.5" customHeight="1">
      <c r="A31" s="15" t="s">
        <v>414</v>
      </c>
      <c r="B31" s="28" t="s">
        <v>57</v>
      </c>
      <c r="C31" s="195" t="s">
        <v>410</v>
      </c>
      <c r="D31" s="222" t="s">
        <v>409</v>
      </c>
      <c r="E31" s="195" t="s">
        <v>14</v>
      </c>
      <c r="F31" s="200">
        <v>9</v>
      </c>
      <c r="G31" s="290" t="s">
        <v>420</v>
      </c>
      <c r="H31" s="291"/>
      <c r="I31" s="26"/>
    </row>
    <row r="32" spans="1:9" s="27" customFormat="1" ht="28.5" customHeight="1">
      <c r="A32" s="15" t="s">
        <v>415</v>
      </c>
      <c r="B32" s="28" t="s">
        <v>57</v>
      </c>
      <c r="C32" s="195" t="s">
        <v>412</v>
      </c>
      <c r="D32" s="222" t="s">
        <v>411</v>
      </c>
      <c r="E32" s="195" t="s">
        <v>413</v>
      </c>
      <c r="F32" s="200">
        <f>9*1</f>
        <v>9</v>
      </c>
      <c r="G32" s="290" t="s">
        <v>421</v>
      </c>
      <c r="H32" s="291"/>
      <c r="I32" s="26"/>
    </row>
    <row r="33" spans="1:9" s="27" customFormat="1" ht="13.5" customHeight="1">
      <c r="A33" s="15"/>
      <c r="B33" s="28"/>
      <c r="C33" s="28"/>
      <c r="D33" s="13"/>
      <c r="E33" s="28"/>
      <c r="F33" s="43"/>
      <c r="G33" s="290"/>
      <c r="H33" s="291"/>
      <c r="I33" s="26"/>
    </row>
    <row r="34" spans="1:9" s="27" customFormat="1" ht="18.75" customHeight="1">
      <c r="A34" s="56">
        <v>2</v>
      </c>
      <c r="B34" s="48"/>
      <c r="C34" s="48"/>
      <c r="D34" s="104" t="s">
        <v>136</v>
      </c>
      <c r="E34" s="48"/>
      <c r="F34" s="101"/>
      <c r="G34" s="288"/>
      <c r="H34" s="289"/>
      <c r="I34" s="26"/>
    </row>
    <row r="35" spans="1:9" s="27" customFormat="1" ht="42.75" customHeight="1">
      <c r="A35" s="15" t="s">
        <v>10</v>
      </c>
      <c r="B35" s="28" t="s">
        <v>57</v>
      </c>
      <c r="C35" s="195" t="s">
        <v>26</v>
      </c>
      <c r="D35" s="227" t="s">
        <v>213</v>
      </c>
      <c r="E35" s="195" t="s">
        <v>12</v>
      </c>
      <c r="F35" s="200">
        <f>3031.33+1277.2+183.25</f>
        <v>4491.78</v>
      </c>
      <c r="G35" s="290" t="s">
        <v>422</v>
      </c>
      <c r="H35" s="291"/>
      <c r="I35" s="26"/>
    </row>
    <row r="36" spans="1:9" s="27" customFormat="1" ht="30.75" customHeight="1">
      <c r="A36" s="15" t="s">
        <v>17</v>
      </c>
      <c r="B36" s="28" t="s">
        <v>57</v>
      </c>
      <c r="C36" s="195" t="s">
        <v>52</v>
      </c>
      <c r="D36" s="222" t="s">
        <v>51</v>
      </c>
      <c r="E36" s="195" t="s">
        <v>12</v>
      </c>
      <c r="F36" s="200">
        <f>(339.75+129.59)</f>
        <v>469.34000000000003</v>
      </c>
      <c r="G36" s="314" t="s">
        <v>423</v>
      </c>
      <c r="H36" s="315"/>
      <c r="I36" s="26"/>
    </row>
    <row r="37" spans="1:9" s="27" customFormat="1" ht="93.75" customHeight="1">
      <c r="A37" s="15" t="s">
        <v>18</v>
      </c>
      <c r="B37" s="28" t="s">
        <v>57</v>
      </c>
      <c r="C37" s="195" t="s">
        <v>71</v>
      </c>
      <c r="D37" s="222" t="s">
        <v>372</v>
      </c>
      <c r="E37" s="195" t="s">
        <v>13</v>
      </c>
      <c r="F37" s="200">
        <f>(6.58+3.27+12.51+14.24+4.86+1.55+5.05+1.27+11.22+8.95+6.88+9.05+2.39+1.3+2.85+1.62+19.64+11.27)*0.2*0.15</f>
        <v>3.7349999999999994</v>
      </c>
      <c r="G37" s="312" t="s">
        <v>424</v>
      </c>
      <c r="H37" s="313"/>
      <c r="I37" s="26"/>
    </row>
    <row r="38" spans="1:9" s="27" customFormat="1" ht="76.5" customHeight="1">
      <c r="A38" s="15" t="s">
        <v>19</v>
      </c>
      <c r="B38" s="28" t="s">
        <v>57</v>
      </c>
      <c r="C38" s="195" t="s">
        <v>48</v>
      </c>
      <c r="D38" s="222" t="s">
        <v>192</v>
      </c>
      <c r="E38" s="195" t="s">
        <v>13</v>
      </c>
      <c r="F38" s="200">
        <f>(6.58+3.27+12.51+14.24+4.86+1.55+5.05+1.27+11.22+8.95+6.88+9.05+2.39+1.3+2.85+1.62)*0.03*0.2</f>
        <v>0.56153999999999993</v>
      </c>
      <c r="G38" s="312" t="s">
        <v>505</v>
      </c>
      <c r="H38" s="313"/>
      <c r="I38" s="26"/>
    </row>
    <row r="39" spans="1:9" s="27" customFormat="1" ht="31.5" customHeight="1">
      <c r="A39" s="15" t="s">
        <v>20</v>
      </c>
      <c r="B39" s="28" t="s">
        <v>57</v>
      </c>
      <c r="C39" s="195" t="s">
        <v>72</v>
      </c>
      <c r="D39" s="222" t="s">
        <v>188</v>
      </c>
      <c r="E39" s="195" t="s">
        <v>12</v>
      </c>
      <c r="F39" s="200">
        <f>(14.24+12.51)*0.4</f>
        <v>10.700000000000001</v>
      </c>
      <c r="G39" s="290" t="s">
        <v>425</v>
      </c>
      <c r="H39" s="291"/>
      <c r="I39" s="26"/>
    </row>
    <row r="40" spans="1:9" s="27" customFormat="1" ht="67.5" customHeight="1">
      <c r="A40" s="15" t="s">
        <v>21</v>
      </c>
      <c r="B40" s="28" t="s">
        <v>57</v>
      </c>
      <c r="C40" s="195" t="s">
        <v>74</v>
      </c>
      <c r="D40" s="222" t="s">
        <v>193</v>
      </c>
      <c r="E40" s="195" t="s">
        <v>12</v>
      </c>
      <c r="F40" s="200">
        <f>(6.58+3.27+4.86+1.55+5.05+1.27+11.22+8.95+6.88+9.05+2.39+1.3+2.85+1.62+50+19.64+11.27)*0.4</f>
        <v>59.100000000000016</v>
      </c>
      <c r="G40" s="282" t="s">
        <v>426</v>
      </c>
      <c r="H40" s="283"/>
      <c r="I40" s="26"/>
    </row>
    <row r="41" spans="1:9" s="27" customFormat="1" ht="80.25" customHeight="1">
      <c r="A41" s="15" t="s">
        <v>44</v>
      </c>
      <c r="B41" s="28" t="s">
        <v>57</v>
      </c>
      <c r="C41" s="195" t="s">
        <v>73</v>
      </c>
      <c r="D41" s="222" t="s">
        <v>376</v>
      </c>
      <c r="E41" s="195" t="s">
        <v>13</v>
      </c>
      <c r="F41" s="200">
        <f>(6.58+3.27+4.86+1.55+5.05+1.27+11.22+8.95+6.88+9.05+2.39+1.3+2.85+1.62+50+19.64+11.27)*0.12*0.2</f>
        <v>3.5460000000000012</v>
      </c>
      <c r="G41" s="282" t="s">
        <v>427</v>
      </c>
      <c r="H41" s="283"/>
      <c r="I41" s="26"/>
    </row>
    <row r="42" spans="1:9" s="27" customFormat="1" ht="49.5" customHeight="1">
      <c r="A42" s="15" t="s">
        <v>45</v>
      </c>
      <c r="B42" s="28" t="s">
        <v>57</v>
      </c>
      <c r="C42" s="195" t="s">
        <v>78</v>
      </c>
      <c r="D42" s="222" t="s">
        <v>210</v>
      </c>
      <c r="E42" s="195" t="s">
        <v>14</v>
      </c>
      <c r="F42" s="200">
        <f>5.2+26.58+25.4+25.4+26.58</f>
        <v>109.15999999999998</v>
      </c>
      <c r="G42" s="290" t="s">
        <v>428</v>
      </c>
      <c r="H42" s="291"/>
      <c r="I42" s="26"/>
    </row>
    <row r="43" spans="1:9" s="27" customFormat="1" ht="27" customHeight="1">
      <c r="A43" s="15" t="s">
        <v>46</v>
      </c>
      <c r="B43" s="28" t="s">
        <v>57</v>
      </c>
      <c r="C43" s="28" t="s">
        <v>50</v>
      </c>
      <c r="D43" s="222" t="s">
        <v>49</v>
      </c>
      <c r="E43" s="28" t="s">
        <v>33</v>
      </c>
      <c r="F43" s="200">
        <v>4</v>
      </c>
      <c r="G43" s="296" t="s">
        <v>186</v>
      </c>
      <c r="H43" s="297"/>
      <c r="I43" s="26"/>
    </row>
    <row r="44" spans="1:9" s="27" customFormat="1" ht="30.75" customHeight="1">
      <c r="A44" s="15" t="s">
        <v>139</v>
      </c>
      <c r="B44" s="28" t="s">
        <v>57</v>
      </c>
      <c r="C44" s="28" t="s">
        <v>76</v>
      </c>
      <c r="D44" s="222" t="s">
        <v>75</v>
      </c>
      <c r="E44" s="28" t="s">
        <v>13</v>
      </c>
      <c r="F44" s="200">
        <f>109.16*0.4*0.6</f>
        <v>26.198399999999999</v>
      </c>
      <c r="G44" s="290" t="s">
        <v>429</v>
      </c>
      <c r="H44" s="291"/>
      <c r="I44" s="26"/>
    </row>
    <row r="45" spans="1:9" s="27" customFormat="1" ht="42" customHeight="1">
      <c r="A45" s="15" t="s">
        <v>69</v>
      </c>
      <c r="B45" s="28" t="s">
        <v>57</v>
      </c>
      <c r="C45" s="195" t="s">
        <v>40</v>
      </c>
      <c r="D45" s="222" t="s">
        <v>87</v>
      </c>
      <c r="E45" s="195" t="s">
        <v>13</v>
      </c>
      <c r="F45" s="200">
        <f>109.16*0.03*0.4</f>
        <v>1.30992</v>
      </c>
      <c r="G45" s="290" t="s">
        <v>430</v>
      </c>
      <c r="H45" s="291"/>
      <c r="I45" s="26"/>
    </row>
    <row r="46" spans="1:9" s="27" customFormat="1" ht="15.75" customHeight="1">
      <c r="A46" s="15" t="s">
        <v>96</v>
      </c>
      <c r="B46" s="28" t="s">
        <v>57</v>
      </c>
      <c r="C46" s="195" t="s">
        <v>220</v>
      </c>
      <c r="D46" s="222" t="s">
        <v>219</v>
      </c>
      <c r="E46" s="195" t="s">
        <v>68</v>
      </c>
      <c r="F46" s="200">
        <v>23</v>
      </c>
      <c r="G46" s="300" t="s">
        <v>455</v>
      </c>
      <c r="H46" s="301"/>
      <c r="I46" s="26"/>
    </row>
    <row r="47" spans="1:9" s="27" customFormat="1" ht="30.75" customHeight="1">
      <c r="A47" s="15" t="s">
        <v>140</v>
      </c>
      <c r="B47" s="28" t="s">
        <v>57</v>
      </c>
      <c r="C47" s="195" t="s">
        <v>312</v>
      </c>
      <c r="D47" s="222" t="s">
        <v>313</v>
      </c>
      <c r="E47" s="195" t="s">
        <v>12</v>
      </c>
      <c r="F47" s="200">
        <f>3031.33+183.25+1277.2</f>
        <v>4491.78</v>
      </c>
      <c r="G47" s="290" t="s">
        <v>247</v>
      </c>
      <c r="H47" s="291"/>
      <c r="I47" s="26"/>
    </row>
    <row r="48" spans="1:9" s="27" customFormat="1" ht="73.5" customHeight="1">
      <c r="A48" s="15" t="s">
        <v>141</v>
      </c>
      <c r="B48" s="195" t="s">
        <v>57</v>
      </c>
      <c r="C48" s="195" t="s">
        <v>70</v>
      </c>
      <c r="D48" s="222" t="s">
        <v>514</v>
      </c>
      <c r="E48" s="195" t="s">
        <v>13</v>
      </c>
      <c r="F48" s="200">
        <f>23.17*0.05+(17.62*2*0.05)+(5.64*2*0.05)</f>
        <v>3.4845000000000006</v>
      </c>
      <c r="G48" s="290" t="s">
        <v>513</v>
      </c>
      <c r="H48" s="291"/>
      <c r="I48" s="26"/>
    </row>
    <row r="49" spans="1:9" s="27" customFormat="1" ht="33.75" customHeight="1">
      <c r="A49" s="15" t="s">
        <v>142</v>
      </c>
      <c r="B49" s="28" t="s">
        <v>57</v>
      </c>
      <c r="C49" s="195" t="s">
        <v>99</v>
      </c>
      <c r="D49" s="222" t="s">
        <v>95</v>
      </c>
      <c r="E49" s="195" t="s">
        <v>14</v>
      </c>
      <c r="F49" s="206">
        <f>65.16+38.17</f>
        <v>103.33</v>
      </c>
      <c r="G49" s="296" t="s">
        <v>187</v>
      </c>
      <c r="H49" s="297"/>
      <c r="I49" s="26"/>
    </row>
    <row r="50" spans="1:9" s="27" customFormat="1" ht="99" customHeight="1">
      <c r="A50" s="15" t="s">
        <v>143</v>
      </c>
      <c r="B50" s="195" t="s">
        <v>57</v>
      </c>
      <c r="C50" s="195" t="s">
        <v>73</v>
      </c>
      <c r="D50" s="222" t="s">
        <v>375</v>
      </c>
      <c r="E50" s="195" t="s">
        <v>13</v>
      </c>
      <c r="F50" s="206">
        <f>(2.5*9*0.2)+((17.25+3.33+3.33+65.7)*0.4*0.06)+((24*0.25*0.25*0.35)+(28*0.15*0.35*0.5)+(38.87*0.5*0.1)*2)+(15.1*0.2*0.25)+(0.38*0.15*0.2*4)+(15.1*0.2*0.12)</f>
        <v>12.960640000000001</v>
      </c>
      <c r="G50" s="304" t="s">
        <v>518</v>
      </c>
      <c r="H50" s="305"/>
      <c r="I50" s="26"/>
    </row>
    <row r="51" spans="1:9" s="27" customFormat="1" ht="99" customHeight="1">
      <c r="A51" s="15" t="s">
        <v>144</v>
      </c>
      <c r="B51" s="28" t="s">
        <v>57</v>
      </c>
      <c r="C51" s="195" t="s">
        <v>195</v>
      </c>
      <c r="D51" s="222" t="s">
        <v>196</v>
      </c>
      <c r="E51" s="195" t="s">
        <v>13</v>
      </c>
      <c r="F51" s="206">
        <f>12.96</f>
        <v>12.96</v>
      </c>
      <c r="G51" s="304" t="s">
        <v>515</v>
      </c>
      <c r="H51" s="305"/>
      <c r="I51" s="26"/>
    </row>
    <row r="52" spans="1:9" s="27" customFormat="1" ht="47.25" customHeight="1">
      <c r="A52" s="15" t="s">
        <v>145</v>
      </c>
      <c r="B52" s="195" t="s">
        <v>57</v>
      </c>
      <c r="C52" s="195" t="s">
        <v>200</v>
      </c>
      <c r="D52" s="222" t="s">
        <v>457</v>
      </c>
      <c r="E52" s="195" t="s">
        <v>130</v>
      </c>
      <c r="F52" s="206">
        <f>(12.96*80*0.8)</f>
        <v>829.44000000000017</v>
      </c>
      <c r="G52" s="290" t="s">
        <v>516</v>
      </c>
      <c r="H52" s="291"/>
      <c r="I52" s="26"/>
    </row>
    <row r="53" spans="1:9" s="27" customFormat="1" ht="53.25" customHeight="1">
      <c r="A53" s="15" t="s">
        <v>146</v>
      </c>
      <c r="B53" s="28" t="s">
        <v>57</v>
      </c>
      <c r="C53" s="197" t="s">
        <v>132</v>
      </c>
      <c r="D53" s="222" t="s">
        <v>456</v>
      </c>
      <c r="E53" s="195" t="s">
        <v>130</v>
      </c>
      <c r="F53" s="206">
        <f>(12.96*80*0.2)</f>
        <v>207.36000000000004</v>
      </c>
      <c r="G53" s="282" t="s">
        <v>517</v>
      </c>
      <c r="H53" s="283"/>
      <c r="I53" s="26"/>
    </row>
    <row r="54" spans="1:9" s="27" customFormat="1" ht="42" customHeight="1">
      <c r="A54" s="15" t="s">
        <v>147</v>
      </c>
      <c r="B54" s="28" t="s">
        <v>57</v>
      </c>
      <c r="C54" s="28" t="s">
        <v>72</v>
      </c>
      <c r="D54" s="222" t="s">
        <v>189</v>
      </c>
      <c r="E54" s="28" t="s">
        <v>12</v>
      </c>
      <c r="F54" s="206">
        <f>(77.76*2*0.1)</f>
        <v>15.552000000000001</v>
      </c>
      <c r="G54" s="290" t="s">
        <v>300</v>
      </c>
      <c r="H54" s="291"/>
      <c r="I54" s="26"/>
    </row>
    <row r="55" spans="1:9" s="27" customFormat="1" ht="30.75" customHeight="1">
      <c r="A55" s="15" t="s">
        <v>148</v>
      </c>
      <c r="B55" s="28" t="s">
        <v>57</v>
      </c>
      <c r="C55" s="28" t="s">
        <v>131</v>
      </c>
      <c r="D55" s="222" t="s">
        <v>373</v>
      </c>
      <c r="E55" s="28" t="s">
        <v>14</v>
      </c>
      <c r="F55" s="206">
        <f>(26*2*1)</f>
        <v>52</v>
      </c>
      <c r="G55" s="290" t="s">
        <v>301</v>
      </c>
      <c r="H55" s="291"/>
      <c r="I55" s="26"/>
    </row>
    <row r="56" spans="1:9" s="27" customFormat="1" ht="67.5" customHeight="1">
      <c r="A56" s="15" t="s">
        <v>149</v>
      </c>
      <c r="B56" s="28" t="s">
        <v>57</v>
      </c>
      <c r="C56" s="28" t="s">
        <v>133</v>
      </c>
      <c r="D56" s="204" t="s">
        <v>374</v>
      </c>
      <c r="E56" s="28" t="s">
        <v>12</v>
      </c>
      <c r="F56" s="206">
        <f>((0.7+0.15+0.15)*14+(0.25*0.25)*12)+(23*0.2)</f>
        <v>19.350000000000001</v>
      </c>
      <c r="G56" s="290" t="s">
        <v>458</v>
      </c>
      <c r="H56" s="291"/>
      <c r="I56" s="26"/>
    </row>
    <row r="57" spans="1:9" s="27" customFormat="1" ht="30" customHeight="1">
      <c r="A57" s="15" t="s">
        <v>150</v>
      </c>
      <c r="B57" s="28" t="s">
        <v>57</v>
      </c>
      <c r="C57" s="28" t="s">
        <v>199</v>
      </c>
      <c r="D57" s="204" t="s">
        <v>209</v>
      </c>
      <c r="E57" s="28" t="s">
        <v>14</v>
      </c>
      <c r="F57" s="206">
        <f>(3*6)</f>
        <v>18</v>
      </c>
      <c r="G57" s="290" t="s">
        <v>302</v>
      </c>
      <c r="H57" s="291"/>
      <c r="I57" s="26"/>
    </row>
    <row r="58" spans="1:9" s="27" customFormat="1" ht="30" customHeight="1">
      <c r="A58" s="15" t="s">
        <v>151</v>
      </c>
      <c r="B58" s="28" t="s">
        <v>57</v>
      </c>
      <c r="C58" s="28" t="s">
        <v>201</v>
      </c>
      <c r="D58" s="204" t="s">
        <v>283</v>
      </c>
      <c r="E58" s="28" t="s">
        <v>12</v>
      </c>
      <c r="F58" s="206">
        <v>5.33</v>
      </c>
      <c r="G58" s="290" t="s">
        <v>303</v>
      </c>
      <c r="H58" s="291"/>
      <c r="I58" s="26"/>
    </row>
    <row r="59" spans="1:9" s="27" customFormat="1" ht="30" customHeight="1">
      <c r="A59" s="15" t="s">
        <v>152</v>
      </c>
      <c r="B59" s="28" t="s">
        <v>57</v>
      </c>
      <c r="C59" s="28" t="s">
        <v>204</v>
      </c>
      <c r="D59" s="204" t="s">
        <v>441</v>
      </c>
      <c r="E59" s="28" t="s">
        <v>12</v>
      </c>
      <c r="F59" s="206">
        <f>(11.52*2+3.21)*0.02</f>
        <v>0.52500000000000002</v>
      </c>
      <c r="G59" s="290" t="s">
        <v>307</v>
      </c>
      <c r="H59" s="291"/>
      <c r="I59" s="26"/>
    </row>
    <row r="60" spans="1:9" s="27" customFormat="1" ht="30" customHeight="1">
      <c r="A60" s="15" t="s">
        <v>197</v>
      </c>
      <c r="B60" s="28" t="s">
        <v>57</v>
      </c>
      <c r="C60" s="28" t="s">
        <v>222</v>
      </c>
      <c r="D60" s="47" t="s">
        <v>352</v>
      </c>
      <c r="E60" s="15" t="s">
        <v>12</v>
      </c>
      <c r="F60" s="33">
        <f>(11.56*2)</f>
        <v>23.12</v>
      </c>
      <c r="G60" s="282" t="s">
        <v>504</v>
      </c>
      <c r="H60" s="283"/>
      <c r="I60" s="26"/>
    </row>
    <row r="61" spans="1:9" s="27" customFormat="1" ht="43.5" customHeight="1">
      <c r="A61" s="15" t="s">
        <v>198</v>
      </c>
      <c r="B61" s="28" t="s">
        <v>57</v>
      </c>
      <c r="C61" s="28" t="s">
        <v>218</v>
      </c>
      <c r="D61" s="204" t="s">
        <v>304</v>
      </c>
      <c r="E61" s="195" t="s">
        <v>12</v>
      </c>
      <c r="F61" s="206">
        <f>((17.25+3.33+3.33+65.7)*0.4)</f>
        <v>35.844000000000001</v>
      </c>
      <c r="G61" s="290" t="s">
        <v>459</v>
      </c>
      <c r="H61" s="291"/>
      <c r="I61" s="26"/>
    </row>
    <row r="62" spans="1:9" s="27" customFormat="1" ht="39.75" customHeight="1">
      <c r="A62" s="15" t="s">
        <v>202</v>
      </c>
      <c r="B62" s="28" t="s">
        <v>57</v>
      </c>
      <c r="C62" s="28" t="s">
        <v>230</v>
      </c>
      <c r="D62" s="12" t="s">
        <v>439</v>
      </c>
      <c r="E62" s="28" t="s">
        <v>12</v>
      </c>
      <c r="F62" s="45">
        <f>11.52</f>
        <v>11.52</v>
      </c>
      <c r="G62" s="290" t="s">
        <v>460</v>
      </c>
      <c r="H62" s="291"/>
      <c r="I62" s="26"/>
    </row>
    <row r="63" spans="1:9" s="27" customFormat="1" ht="39.75" customHeight="1">
      <c r="A63" s="15" t="s">
        <v>203</v>
      </c>
      <c r="B63" s="195" t="s">
        <v>57</v>
      </c>
      <c r="C63" s="195" t="s">
        <v>314</v>
      </c>
      <c r="D63" s="204" t="s">
        <v>319</v>
      </c>
      <c r="E63" s="195" t="s">
        <v>12</v>
      </c>
      <c r="F63" s="206">
        <f>(0.9*2.2)*2</f>
        <v>3.9600000000000004</v>
      </c>
      <c r="G63" s="290" t="s">
        <v>461</v>
      </c>
      <c r="H63" s="291"/>
      <c r="I63" s="26"/>
    </row>
    <row r="64" spans="1:9" s="27" customFormat="1" ht="39.75" customHeight="1">
      <c r="A64" s="15" t="s">
        <v>205</v>
      </c>
      <c r="B64" s="195" t="s">
        <v>57</v>
      </c>
      <c r="C64" s="195" t="s">
        <v>315</v>
      </c>
      <c r="D64" s="204" t="s">
        <v>444</v>
      </c>
      <c r="E64" s="195" t="s">
        <v>12</v>
      </c>
      <c r="F64" s="206">
        <f>((0.9*2.2)*2)*2</f>
        <v>7.9200000000000008</v>
      </c>
      <c r="G64" s="290" t="s">
        <v>506</v>
      </c>
      <c r="H64" s="291"/>
      <c r="I64" s="26"/>
    </row>
    <row r="65" spans="1:9" s="27" customFormat="1" ht="105.75" customHeight="1">
      <c r="A65" s="15" t="s">
        <v>217</v>
      </c>
      <c r="B65" s="195" t="s">
        <v>57</v>
      </c>
      <c r="C65" s="195" t="s">
        <v>316</v>
      </c>
      <c r="D65" s="204" t="s">
        <v>448</v>
      </c>
      <c r="E65" s="195" t="s">
        <v>12</v>
      </c>
      <c r="F65" s="206">
        <f>((0.9*2.2)*2)*2+(6.58+3.27+4.86+1.55+5.05+1.27+11.22+8.95+6.88+9.05+2.39+1.3+2.85+1.62+50+19.64+11.27+14.24+12.51)*0.52</f>
        <v>98.660000000000025</v>
      </c>
      <c r="G65" s="290" t="s">
        <v>463</v>
      </c>
      <c r="H65" s="291"/>
      <c r="I65" s="26"/>
    </row>
    <row r="66" spans="1:9" s="27" customFormat="1" ht="30" customHeight="1">
      <c r="A66" s="15" t="s">
        <v>381</v>
      </c>
      <c r="B66" s="195" t="s">
        <v>57</v>
      </c>
      <c r="C66" s="195" t="s">
        <v>380</v>
      </c>
      <c r="D66" s="204" t="s">
        <v>379</v>
      </c>
      <c r="E66" s="195" t="s">
        <v>14</v>
      </c>
      <c r="F66" s="206">
        <f>100</f>
        <v>100</v>
      </c>
      <c r="G66" s="296" t="s">
        <v>462</v>
      </c>
      <c r="H66" s="297"/>
      <c r="I66" s="26"/>
    </row>
    <row r="67" spans="1:9" s="27" customFormat="1" ht="90" customHeight="1">
      <c r="A67" s="15" t="s">
        <v>382</v>
      </c>
      <c r="B67" s="195" t="s">
        <v>57</v>
      </c>
      <c r="C67" s="195" t="s">
        <v>437</v>
      </c>
      <c r="D67" s="223" t="s">
        <v>464</v>
      </c>
      <c r="E67" s="195" t="s">
        <v>12</v>
      </c>
      <c r="F67" s="206">
        <f>(65.7*0.45)+11.52+((2.87+2.87+16.87)*0.3)+((9.23+20.83+20.46+9.23)*0.5)+(24*0.25*0.25*0.35)+(28*0.15*0.35*0.5)+(38.87*2*0.1)</f>
        <v>86.777000000000001</v>
      </c>
      <c r="G67" s="290" t="s">
        <v>466</v>
      </c>
      <c r="H67" s="291"/>
      <c r="I67" s="26"/>
    </row>
    <row r="68" spans="1:9" s="27" customFormat="1" ht="84.75" customHeight="1">
      <c r="A68" s="15" t="s">
        <v>383</v>
      </c>
      <c r="B68" s="195" t="s">
        <v>57</v>
      </c>
      <c r="C68" s="195" t="s">
        <v>438</v>
      </c>
      <c r="D68" s="223" t="s">
        <v>465</v>
      </c>
      <c r="E68" s="195" t="s">
        <v>12</v>
      </c>
      <c r="F68" s="206">
        <f>F67</f>
        <v>86.777000000000001</v>
      </c>
      <c r="G68" s="290" t="s">
        <v>467</v>
      </c>
      <c r="H68" s="291"/>
      <c r="I68" s="26"/>
    </row>
    <row r="69" spans="1:9" s="27" customFormat="1" ht="46.5" customHeight="1">
      <c r="A69" s="15" t="s">
        <v>521</v>
      </c>
      <c r="B69" s="195" t="s">
        <v>57</v>
      </c>
      <c r="C69" s="195" t="s">
        <v>443</v>
      </c>
      <c r="D69" s="218" t="s">
        <v>440</v>
      </c>
      <c r="E69" s="195" t="s">
        <v>12</v>
      </c>
      <c r="F69" s="206">
        <v>27.8</v>
      </c>
      <c r="G69" s="308" t="s">
        <v>468</v>
      </c>
      <c r="H69" s="309"/>
      <c r="I69" s="26"/>
    </row>
    <row r="70" spans="1:9" s="27" customFormat="1" ht="15" customHeight="1">
      <c r="A70" s="15"/>
      <c r="B70" s="14"/>
      <c r="C70" s="28"/>
      <c r="D70" s="9"/>
      <c r="E70" s="28"/>
      <c r="F70" s="45"/>
      <c r="G70" s="300"/>
      <c r="H70" s="301"/>
      <c r="I70" s="26"/>
    </row>
    <row r="71" spans="1:9" s="27" customFormat="1" ht="15" customHeight="1">
      <c r="A71" s="52">
        <v>3</v>
      </c>
      <c r="B71" s="48"/>
      <c r="C71" s="48"/>
      <c r="D71" s="57" t="s">
        <v>36</v>
      </c>
      <c r="E71" s="48"/>
      <c r="F71" s="56"/>
      <c r="G71" s="310"/>
      <c r="H71" s="311"/>
      <c r="I71" s="26"/>
    </row>
    <row r="72" spans="1:9" s="27" customFormat="1" ht="33" customHeight="1">
      <c r="A72" s="15" t="s">
        <v>58</v>
      </c>
      <c r="B72" s="28" t="s">
        <v>57</v>
      </c>
      <c r="C72" s="28" t="s">
        <v>317</v>
      </c>
      <c r="D72" s="36" t="s">
        <v>318</v>
      </c>
      <c r="E72" s="28" t="s">
        <v>33</v>
      </c>
      <c r="F72" s="34">
        <v>4</v>
      </c>
      <c r="G72" s="300" t="s">
        <v>101</v>
      </c>
      <c r="H72" s="301"/>
      <c r="I72" s="26"/>
    </row>
    <row r="73" spans="1:9" s="27" customFormat="1" ht="34.5" customHeight="1">
      <c r="A73" s="15" t="s">
        <v>59</v>
      </c>
      <c r="B73" s="28" t="s">
        <v>57</v>
      </c>
      <c r="C73" s="28" t="s">
        <v>23</v>
      </c>
      <c r="D73" s="204" t="s">
        <v>507</v>
      </c>
      <c r="E73" s="28" t="s">
        <v>33</v>
      </c>
      <c r="F73" s="33">
        <v>4</v>
      </c>
      <c r="G73" s="300" t="s">
        <v>101</v>
      </c>
      <c r="H73" s="301"/>
      <c r="I73" s="26"/>
    </row>
    <row r="74" spans="1:9" s="27" customFormat="1" ht="31.5" customHeight="1">
      <c r="A74" s="15" t="s">
        <v>153</v>
      </c>
      <c r="B74" s="28" t="s">
        <v>57</v>
      </c>
      <c r="C74" s="28" t="s">
        <v>24</v>
      </c>
      <c r="D74" s="201" t="s">
        <v>508</v>
      </c>
      <c r="E74" s="28" t="s">
        <v>33</v>
      </c>
      <c r="F74" s="34">
        <v>54</v>
      </c>
      <c r="G74" s="290" t="s">
        <v>509</v>
      </c>
      <c r="H74" s="291"/>
      <c r="I74" s="26"/>
    </row>
    <row r="75" spans="1:9" s="27" customFormat="1" ht="15.75">
      <c r="A75" s="15" t="s">
        <v>154</v>
      </c>
      <c r="B75" s="28" t="s">
        <v>57</v>
      </c>
      <c r="C75" s="28" t="s">
        <v>37</v>
      </c>
      <c r="D75" s="16" t="s">
        <v>42</v>
      </c>
      <c r="E75" s="37" t="s">
        <v>33</v>
      </c>
      <c r="F75" s="41">
        <v>13</v>
      </c>
      <c r="G75" s="300" t="s">
        <v>101</v>
      </c>
      <c r="H75" s="301"/>
      <c r="I75" s="26"/>
    </row>
    <row r="76" spans="1:9" s="27" customFormat="1" ht="31.5" customHeight="1">
      <c r="A76" s="15" t="s">
        <v>155</v>
      </c>
      <c r="B76" s="28" t="s">
        <v>57</v>
      </c>
      <c r="C76" s="28" t="s">
        <v>38</v>
      </c>
      <c r="D76" s="16" t="s">
        <v>41</v>
      </c>
      <c r="E76" s="22" t="s">
        <v>14</v>
      </c>
      <c r="F76" s="42">
        <f>(F78*3)</f>
        <v>726.21</v>
      </c>
      <c r="G76" s="290" t="s">
        <v>472</v>
      </c>
      <c r="H76" s="291"/>
      <c r="I76" s="26"/>
    </row>
    <row r="77" spans="1:9" s="27" customFormat="1" ht="48.75" customHeight="1">
      <c r="A77" s="15" t="s">
        <v>156</v>
      </c>
      <c r="B77" s="28"/>
      <c r="C77" s="28" t="s">
        <v>320</v>
      </c>
      <c r="D77" s="16" t="s">
        <v>321</v>
      </c>
      <c r="E77" s="22" t="s">
        <v>14</v>
      </c>
      <c r="F77" s="42">
        <f>(28.22+5+4)*4</f>
        <v>148.88</v>
      </c>
      <c r="G77" s="290" t="s">
        <v>473</v>
      </c>
      <c r="H77" s="291"/>
      <c r="I77" s="26"/>
    </row>
    <row r="78" spans="1:9" s="27" customFormat="1" ht="63" customHeight="1">
      <c r="A78" s="15" t="s">
        <v>157</v>
      </c>
      <c r="B78" s="28" t="s">
        <v>57</v>
      </c>
      <c r="C78" s="28" t="s">
        <v>39</v>
      </c>
      <c r="D78" s="36" t="s">
        <v>384</v>
      </c>
      <c r="E78" s="22" t="s">
        <v>14</v>
      </c>
      <c r="F78" s="41">
        <f>(30.6+7.83+22.29+32+16.7+26.84+24.11+21.7)+7.5*8</f>
        <v>242.07</v>
      </c>
      <c r="G78" s="290" t="s">
        <v>474</v>
      </c>
      <c r="H78" s="291"/>
      <c r="I78" s="26"/>
    </row>
    <row r="79" spans="1:9" s="27" customFormat="1" ht="30" customHeight="1">
      <c r="A79" s="15" t="s">
        <v>158</v>
      </c>
      <c r="B79" s="28"/>
      <c r="C79" s="28" t="s">
        <v>386</v>
      </c>
      <c r="D79" s="36" t="s">
        <v>385</v>
      </c>
      <c r="E79" s="22" t="s">
        <v>14</v>
      </c>
      <c r="F79" s="41">
        <f>28.22+57.56+27.86+31.66+5+4</f>
        <v>154.30000000000001</v>
      </c>
      <c r="G79" s="290" t="s">
        <v>475</v>
      </c>
      <c r="H79" s="291"/>
      <c r="I79" s="26"/>
    </row>
    <row r="80" spans="1:9" s="27" customFormat="1" ht="33" customHeight="1">
      <c r="A80" s="15" t="s">
        <v>159</v>
      </c>
      <c r="B80" s="28"/>
      <c r="C80" s="28" t="s">
        <v>388</v>
      </c>
      <c r="D80" s="36" t="s">
        <v>387</v>
      </c>
      <c r="E80" s="22" t="s">
        <v>14</v>
      </c>
      <c r="F80" s="41">
        <f>5+2+2</f>
        <v>9</v>
      </c>
      <c r="G80" s="290" t="s">
        <v>476</v>
      </c>
      <c r="H80" s="291"/>
      <c r="I80" s="26"/>
    </row>
    <row r="81" spans="1:9" s="27" customFormat="1" ht="84.75" customHeight="1">
      <c r="A81" s="15" t="s">
        <v>160</v>
      </c>
      <c r="B81" s="28" t="s">
        <v>57</v>
      </c>
      <c r="C81" s="28" t="s">
        <v>71</v>
      </c>
      <c r="D81" s="36" t="s">
        <v>215</v>
      </c>
      <c r="E81" s="22" t="s">
        <v>13</v>
      </c>
      <c r="F81" s="41">
        <f>((30.6+7.83+22.29+32+16.7+26.84+24.11+21.7))*0.4*0.2+(28.22+57.56+27.86+31.66+5+4)*0.4*0.02</f>
        <v>15.800000000000002</v>
      </c>
      <c r="G81" s="290" t="s">
        <v>477</v>
      </c>
      <c r="H81" s="291"/>
      <c r="I81" s="26"/>
    </row>
    <row r="82" spans="1:9" s="27" customFormat="1" ht="57" customHeight="1">
      <c r="A82" s="15" t="s">
        <v>161</v>
      </c>
      <c r="B82" s="28" t="s">
        <v>57</v>
      </c>
      <c r="C82" s="37" t="s">
        <v>48</v>
      </c>
      <c r="D82" s="36" t="s">
        <v>47</v>
      </c>
      <c r="E82" s="22" t="s">
        <v>13</v>
      </c>
      <c r="F82" s="41">
        <f>(0.4-0.16)*(182.07+28.22+57.56+27.86+31.66+5+4)*1.3</f>
        <v>104.94744000000003</v>
      </c>
      <c r="G82" s="290" t="s">
        <v>478</v>
      </c>
      <c r="H82" s="291"/>
      <c r="I82" s="26"/>
    </row>
    <row r="83" spans="1:9" s="27" customFormat="1" ht="62.25" customHeight="1">
      <c r="A83" s="15" t="s">
        <v>214</v>
      </c>
      <c r="B83" s="28" t="s">
        <v>57</v>
      </c>
      <c r="C83" s="28" t="s">
        <v>40</v>
      </c>
      <c r="D83" s="16" t="s">
        <v>43</v>
      </c>
      <c r="E83" s="22" t="s">
        <v>13</v>
      </c>
      <c r="F83" s="41">
        <f>(182.07+28.22+57.56+27.86+31.66+5+4)*0.2*0.08</f>
        <v>5.3819200000000009</v>
      </c>
      <c r="G83" s="290" t="s">
        <v>479</v>
      </c>
      <c r="H83" s="291"/>
      <c r="I83" s="26"/>
    </row>
    <row r="84" spans="1:9" s="27" customFormat="1" ht="77.25" customHeight="1">
      <c r="A84" s="15" t="s">
        <v>282</v>
      </c>
      <c r="B84" s="28" t="s">
        <v>57</v>
      </c>
      <c r="C84" s="28" t="s">
        <v>70</v>
      </c>
      <c r="D84" s="16" t="s">
        <v>290</v>
      </c>
      <c r="E84" s="22" t="s">
        <v>13</v>
      </c>
      <c r="F84" s="41">
        <f>(0.4*0.4*0.4*8)+(182.07+28.22+57.56+27.86+31.66+5+4)*0.2*0.08</f>
        <v>5.8939200000000014</v>
      </c>
      <c r="G84" s="290" t="s">
        <v>480</v>
      </c>
      <c r="H84" s="291"/>
      <c r="I84" s="26"/>
    </row>
    <row r="85" spans="1:9" s="27" customFormat="1" ht="45" customHeight="1">
      <c r="A85" s="15" t="s">
        <v>330</v>
      </c>
      <c r="B85" s="28" t="s">
        <v>57</v>
      </c>
      <c r="C85" s="28" t="s">
        <v>97</v>
      </c>
      <c r="D85" s="47" t="s">
        <v>228</v>
      </c>
      <c r="E85" s="22" t="s">
        <v>33</v>
      </c>
      <c r="F85" s="41">
        <v>6</v>
      </c>
      <c r="G85" s="296" t="s">
        <v>481</v>
      </c>
      <c r="H85" s="297"/>
      <c r="I85" s="26"/>
    </row>
    <row r="86" spans="1:9" s="27" customFormat="1" ht="78" customHeight="1">
      <c r="A86" s="15" t="s">
        <v>331</v>
      </c>
      <c r="B86" s="28" t="s">
        <v>57</v>
      </c>
      <c r="C86" s="28" t="s">
        <v>195</v>
      </c>
      <c r="D86" s="9" t="s">
        <v>196</v>
      </c>
      <c r="E86" s="28" t="s">
        <v>13</v>
      </c>
      <c r="F86" s="41">
        <f>F84</f>
        <v>5.8939200000000014</v>
      </c>
      <c r="G86" s="304" t="s">
        <v>482</v>
      </c>
      <c r="H86" s="305"/>
      <c r="I86" s="26"/>
    </row>
    <row r="87" spans="1:9" s="27" customFormat="1" ht="46.5" customHeight="1">
      <c r="A87" s="15" t="s">
        <v>332</v>
      </c>
      <c r="B87" s="14" t="s">
        <v>57</v>
      </c>
      <c r="C87" s="28" t="s">
        <v>323</v>
      </c>
      <c r="D87" s="9" t="s">
        <v>322</v>
      </c>
      <c r="E87" s="28" t="s">
        <v>12</v>
      </c>
      <c r="F87" s="41">
        <f>(1.7*0.6)*2</f>
        <v>2.04</v>
      </c>
      <c r="G87" s="304" t="s">
        <v>483</v>
      </c>
      <c r="H87" s="305"/>
      <c r="I87" s="26"/>
    </row>
    <row r="88" spans="1:9" s="27" customFormat="1" ht="41.25" customHeight="1">
      <c r="A88" s="15" t="s">
        <v>333</v>
      </c>
      <c r="B88" s="14" t="s">
        <v>57</v>
      </c>
      <c r="C88" s="28" t="s">
        <v>315</v>
      </c>
      <c r="D88" s="204" t="s">
        <v>324</v>
      </c>
      <c r="E88" s="195" t="s">
        <v>12</v>
      </c>
      <c r="F88" s="206">
        <f>(0.6+0.2+0.6+0.2)*1.7</f>
        <v>2.7199999999999998</v>
      </c>
      <c r="G88" s="304" t="s">
        <v>484</v>
      </c>
      <c r="H88" s="305"/>
      <c r="I88" s="26"/>
    </row>
    <row r="89" spans="1:9" s="27" customFormat="1" ht="39" customHeight="1">
      <c r="A89" s="15" t="s">
        <v>334</v>
      </c>
      <c r="B89" s="14" t="s">
        <v>57</v>
      </c>
      <c r="C89" s="28" t="s">
        <v>316</v>
      </c>
      <c r="D89" s="204" t="s">
        <v>325</v>
      </c>
      <c r="E89" s="195" t="s">
        <v>12</v>
      </c>
      <c r="F89" s="206">
        <f>(0.6+0.2+0.6+0.2)*1.7</f>
        <v>2.7199999999999998</v>
      </c>
      <c r="G89" s="304" t="s">
        <v>484</v>
      </c>
      <c r="H89" s="305"/>
      <c r="I89" s="26"/>
    </row>
    <row r="90" spans="1:9" s="27" customFormat="1" ht="39.75" customHeight="1">
      <c r="A90" s="15" t="s">
        <v>335</v>
      </c>
      <c r="B90" s="14" t="s">
        <v>57</v>
      </c>
      <c r="C90" s="28" t="s">
        <v>327</v>
      </c>
      <c r="D90" s="204" t="s">
        <v>326</v>
      </c>
      <c r="E90" s="195" t="s">
        <v>33</v>
      </c>
      <c r="F90" s="206">
        <v>2</v>
      </c>
      <c r="G90" s="304" t="s">
        <v>485</v>
      </c>
      <c r="H90" s="305"/>
      <c r="I90" s="26"/>
    </row>
    <row r="91" spans="1:9" s="27" customFormat="1" ht="39" customHeight="1">
      <c r="A91" s="15" t="s">
        <v>338</v>
      </c>
      <c r="B91" s="14" t="s">
        <v>57</v>
      </c>
      <c r="C91" s="28" t="s">
        <v>329</v>
      </c>
      <c r="D91" s="204" t="s">
        <v>328</v>
      </c>
      <c r="E91" s="195" t="s">
        <v>33</v>
      </c>
      <c r="F91" s="206">
        <v>2</v>
      </c>
      <c r="G91" s="306" t="s">
        <v>486</v>
      </c>
      <c r="H91" s="307"/>
      <c r="I91" s="26"/>
    </row>
    <row r="92" spans="1:9" s="27" customFormat="1" ht="34.5" customHeight="1">
      <c r="A92" s="15" t="s">
        <v>341</v>
      </c>
      <c r="B92" s="14" t="s">
        <v>57</v>
      </c>
      <c r="C92" s="28" t="s">
        <v>337</v>
      </c>
      <c r="D92" s="204" t="s">
        <v>336</v>
      </c>
      <c r="E92" s="195" t="s">
        <v>33</v>
      </c>
      <c r="F92" s="206">
        <v>2</v>
      </c>
      <c r="G92" s="306" t="s">
        <v>487</v>
      </c>
      <c r="H92" s="307"/>
      <c r="I92" s="26"/>
    </row>
    <row r="93" spans="1:9" s="27" customFormat="1" ht="22.5" customHeight="1">
      <c r="A93" s="15" t="s">
        <v>342</v>
      </c>
      <c r="B93" s="14" t="s">
        <v>57</v>
      </c>
      <c r="C93" s="28" t="s">
        <v>339</v>
      </c>
      <c r="D93" s="204" t="s">
        <v>343</v>
      </c>
      <c r="E93" s="195" t="s">
        <v>33</v>
      </c>
      <c r="F93" s="206">
        <v>2</v>
      </c>
      <c r="G93" s="300" t="s">
        <v>488</v>
      </c>
      <c r="H93" s="301"/>
      <c r="I93" s="26"/>
    </row>
    <row r="94" spans="1:9" s="27" customFormat="1" ht="25.5" customHeight="1">
      <c r="A94" s="15" t="s">
        <v>397</v>
      </c>
      <c r="B94" s="14" t="s">
        <v>57</v>
      </c>
      <c r="C94" s="28" t="s">
        <v>340</v>
      </c>
      <c r="D94" s="204" t="s">
        <v>344</v>
      </c>
      <c r="E94" s="195" t="s">
        <v>33</v>
      </c>
      <c r="F94" s="206">
        <v>2</v>
      </c>
      <c r="G94" s="300" t="s">
        <v>488</v>
      </c>
      <c r="H94" s="301"/>
      <c r="I94" s="26"/>
    </row>
    <row r="95" spans="1:9" s="27" customFormat="1" ht="26.25" customHeight="1">
      <c r="A95" s="15" t="s">
        <v>398</v>
      </c>
      <c r="B95" s="14" t="s">
        <v>57</v>
      </c>
      <c r="C95" s="28" t="s">
        <v>389</v>
      </c>
      <c r="D95" s="204" t="s">
        <v>393</v>
      </c>
      <c r="E95" s="195" t="s">
        <v>33</v>
      </c>
      <c r="F95" s="206">
        <v>16</v>
      </c>
      <c r="G95" s="300" t="s">
        <v>488</v>
      </c>
      <c r="H95" s="301"/>
      <c r="I95" s="26"/>
    </row>
    <row r="96" spans="1:9" s="27" customFormat="1" ht="33" customHeight="1">
      <c r="A96" s="15" t="s">
        <v>399</v>
      </c>
      <c r="B96" s="14" t="s">
        <v>57</v>
      </c>
      <c r="C96" s="28" t="s">
        <v>390</v>
      </c>
      <c r="D96" s="204" t="s">
        <v>394</v>
      </c>
      <c r="E96" s="195" t="s">
        <v>33</v>
      </c>
      <c r="F96" s="206">
        <v>6</v>
      </c>
      <c r="G96" s="300" t="s">
        <v>489</v>
      </c>
      <c r="H96" s="301"/>
      <c r="I96" s="26"/>
    </row>
    <row r="97" spans="1:9" s="27" customFormat="1" ht="62.25" customHeight="1">
      <c r="A97" s="15" t="s">
        <v>400</v>
      </c>
      <c r="B97" s="28" t="s">
        <v>57</v>
      </c>
      <c r="C97" s="28" t="s">
        <v>434</v>
      </c>
      <c r="D97" s="204" t="s">
        <v>433</v>
      </c>
      <c r="E97" s="195" t="s">
        <v>14</v>
      </c>
      <c r="F97" s="206">
        <f>2.5*6</f>
        <v>15</v>
      </c>
      <c r="G97" s="300" t="s">
        <v>489</v>
      </c>
      <c r="H97" s="301"/>
      <c r="I97" s="26"/>
    </row>
    <row r="98" spans="1:9" s="27" customFormat="1" ht="16.5" customHeight="1">
      <c r="A98" s="15" t="s">
        <v>401</v>
      </c>
      <c r="B98" s="28" t="s">
        <v>57</v>
      </c>
      <c r="C98" s="28" t="s">
        <v>391</v>
      </c>
      <c r="D98" s="204" t="s">
        <v>395</v>
      </c>
      <c r="E98" s="195" t="s">
        <v>33</v>
      </c>
      <c r="F98" s="206">
        <v>6</v>
      </c>
      <c r="G98" s="300" t="s">
        <v>489</v>
      </c>
      <c r="H98" s="301"/>
      <c r="I98" s="26"/>
    </row>
    <row r="99" spans="1:9" s="27" customFormat="1" ht="16.5" customHeight="1">
      <c r="A99" s="15" t="s">
        <v>469</v>
      </c>
      <c r="B99" s="28" t="s">
        <v>57</v>
      </c>
      <c r="C99" s="28" t="s">
        <v>431</v>
      </c>
      <c r="D99" s="199" t="s">
        <v>432</v>
      </c>
      <c r="E99" s="195" t="s">
        <v>68</v>
      </c>
      <c r="F99" s="206">
        <v>6</v>
      </c>
      <c r="G99" s="300" t="s">
        <v>489</v>
      </c>
      <c r="H99" s="301"/>
      <c r="I99" s="26"/>
    </row>
    <row r="100" spans="1:9" s="27" customFormat="1" ht="16.5" customHeight="1">
      <c r="A100" s="15" t="s">
        <v>470</v>
      </c>
      <c r="B100" s="28" t="s">
        <v>57</v>
      </c>
      <c r="C100" s="28" t="s">
        <v>435</v>
      </c>
      <c r="D100" s="217" t="s">
        <v>436</v>
      </c>
      <c r="E100" s="195" t="s">
        <v>14</v>
      </c>
      <c r="F100" s="206">
        <f>2.5*2</f>
        <v>5</v>
      </c>
      <c r="G100" s="300" t="s">
        <v>489</v>
      </c>
      <c r="H100" s="301"/>
      <c r="I100" s="26"/>
    </row>
    <row r="101" spans="1:9" s="27" customFormat="1" ht="33" customHeight="1">
      <c r="A101" s="15" t="s">
        <v>471</v>
      </c>
      <c r="B101" s="14" t="s">
        <v>57</v>
      </c>
      <c r="C101" s="28" t="s">
        <v>392</v>
      </c>
      <c r="D101" s="204" t="s">
        <v>396</v>
      </c>
      <c r="E101" s="195" t="s">
        <v>33</v>
      </c>
      <c r="F101" s="206">
        <v>2</v>
      </c>
      <c r="G101" s="290" t="s">
        <v>490</v>
      </c>
      <c r="H101" s="291"/>
      <c r="I101" s="26"/>
    </row>
    <row r="102" spans="1:9" s="27" customFormat="1" ht="15.75">
      <c r="A102" s="22"/>
      <c r="B102" s="22"/>
      <c r="C102" s="22"/>
      <c r="D102" s="58"/>
      <c r="E102" s="22"/>
      <c r="F102" s="22"/>
      <c r="G102" s="300"/>
      <c r="H102" s="301"/>
      <c r="I102" s="26"/>
    </row>
    <row r="103" spans="1:9" s="27" customFormat="1" ht="15.75">
      <c r="A103" s="51">
        <v>4</v>
      </c>
      <c r="B103" s="19"/>
      <c r="C103" s="19"/>
      <c r="D103" s="5" t="s">
        <v>61</v>
      </c>
      <c r="E103" s="19"/>
      <c r="F103" s="19"/>
      <c r="G103" s="294"/>
      <c r="H103" s="295"/>
      <c r="I103" s="26"/>
    </row>
    <row r="104" spans="1:9" s="27" customFormat="1" ht="66" customHeight="1">
      <c r="A104" s="22" t="s">
        <v>60</v>
      </c>
      <c r="B104" s="28" t="s">
        <v>57</v>
      </c>
      <c r="C104" s="22" t="s">
        <v>65</v>
      </c>
      <c r="D104" s="16" t="s">
        <v>64</v>
      </c>
      <c r="E104" s="22" t="s">
        <v>14</v>
      </c>
      <c r="F104" s="41">
        <f>36.1+88.57+19.41+40.3+17.51+10.8</f>
        <v>212.69</v>
      </c>
      <c r="G104" s="302" t="s">
        <v>491</v>
      </c>
      <c r="H104" s="303"/>
      <c r="I104" s="26"/>
    </row>
    <row r="105" spans="1:9" s="27" customFormat="1" ht="15.75">
      <c r="A105" s="22" t="s">
        <v>62</v>
      </c>
      <c r="B105" s="14" t="s">
        <v>57</v>
      </c>
      <c r="C105" s="22" t="s">
        <v>67</v>
      </c>
      <c r="D105" s="16" t="s">
        <v>66</v>
      </c>
      <c r="E105" s="22" t="s">
        <v>68</v>
      </c>
      <c r="F105" s="41">
        <v>7</v>
      </c>
      <c r="G105" s="284" t="s">
        <v>190</v>
      </c>
      <c r="H105" s="285"/>
      <c r="I105" s="26"/>
    </row>
    <row r="106" spans="1:9" s="27" customFormat="1" ht="48.75" customHeight="1">
      <c r="A106" s="22" t="s">
        <v>216</v>
      </c>
      <c r="B106" s="14" t="s">
        <v>57</v>
      </c>
      <c r="C106" s="37" t="s">
        <v>71</v>
      </c>
      <c r="D106" s="36" t="s">
        <v>215</v>
      </c>
      <c r="E106" s="22" t="s">
        <v>13</v>
      </c>
      <c r="F106" s="41">
        <f>212.69*0.4*0.2</f>
        <v>17.015200000000004</v>
      </c>
      <c r="G106" s="292" t="s">
        <v>492</v>
      </c>
      <c r="H106" s="293"/>
      <c r="I106" s="26"/>
    </row>
    <row r="107" spans="1:9" s="27" customFormat="1" ht="42.75" customHeight="1">
      <c r="A107" s="22" t="s">
        <v>291</v>
      </c>
      <c r="B107" s="195" t="s">
        <v>57</v>
      </c>
      <c r="C107" s="195" t="s">
        <v>40</v>
      </c>
      <c r="D107" s="199" t="s">
        <v>295</v>
      </c>
      <c r="E107" s="195" t="s">
        <v>13</v>
      </c>
      <c r="F107" s="208">
        <f>(212.69*0.08*0.2)</f>
        <v>3.4030400000000003</v>
      </c>
      <c r="G107" s="292" t="s">
        <v>493</v>
      </c>
      <c r="H107" s="293"/>
      <c r="I107" s="26"/>
    </row>
    <row r="108" spans="1:9" s="27" customFormat="1" ht="45.75" customHeight="1">
      <c r="A108" s="22" t="s">
        <v>292</v>
      </c>
      <c r="B108" s="28" t="s">
        <v>57</v>
      </c>
      <c r="C108" s="22" t="s">
        <v>70</v>
      </c>
      <c r="D108" s="16" t="s">
        <v>294</v>
      </c>
      <c r="E108" s="22" t="s">
        <v>13</v>
      </c>
      <c r="F108" s="208">
        <f>(212.69*0.08*0.2)+0.41</f>
        <v>3.8130400000000004</v>
      </c>
      <c r="G108" s="292" t="s">
        <v>494</v>
      </c>
      <c r="H108" s="293"/>
      <c r="I108" s="26"/>
    </row>
    <row r="109" spans="1:9" s="27" customFormat="1" ht="44.25" customHeight="1">
      <c r="A109" s="22" t="s">
        <v>293</v>
      </c>
      <c r="B109" s="14" t="s">
        <v>57</v>
      </c>
      <c r="C109" s="28" t="s">
        <v>195</v>
      </c>
      <c r="D109" s="9" t="s">
        <v>196</v>
      </c>
      <c r="E109" s="28" t="s">
        <v>13</v>
      </c>
      <c r="F109" s="209">
        <f>(212.69*0.08*0.2)+0.41</f>
        <v>3.8130400000000004</v>
      </c>
      <c r="G109" s="292" t="s">
        <v>495</v>
      </c>
      <c r="H109" s="293"/>
      <c r="I109" s="26"/>
    </row>
    <row r="110" spans="1:9" s="27" customFormat="1" ht="32.25" customHeight="1">
      <c r="A110" s="22" t="s">
        <v>305</v>
      </c>
      <c r="B110" s="14" t="s">
        <v>57</v>
      </c>
      <c r="C110" s="28" t="s">
        <v>403</v>
      </c>
      <c r="D110" s="9" t="s">
        <v>402</v>
      </c>
      <c r="E110" s="28" t="s">
        <v>12</v>
      </c>
      <c r="F110" s="209">
        <f>(0.4*0.4)*7</f>
        <v>1.1200000000000001</v>
      </c>
      <c r="G110" s="292" t="s">
        <v>496</v>
      </c>
      <c r="H110" s="293"/>
      <c r="I110" s="26"/>
    </row>
    <row r="111" spans="1:9" s="27" customFormat="1" ht="16.5" customHeight="1">
      <c r="A111" s="22"/>
      <c r="B111" s="28"/>
      <c r="C111" s="28"/>
      <c r="D111" s="12"/>
      <c r="E111" s="28"/>
      <c r="F111" s="209"/>
      <c r="G111" s="292"/>
      <c r="H111" s="293"/>
      <c r="I111" s="26"/>
    </row>
    <row r="112" spans="1:9" s="27" customFormat="1" ht="15.75">
      <c r="A112" s="51">
        <v>5</v>
      </c>
      <c r="B112" s="19"/>
      <c r="C112" s="19"/>
      <c r="D112" s="5" t="s">
        <v>54</v>
      </c>
      <c r="E112" s="19"/>
      <c r="F112" s="19"/>
      <c r="G112" s="294"/>
      <c r="H112" s="295"/>
      <c r="I112" s="26"/>
    </row>
    <row r="113" spans="1:9" s="27" customFormat="1" ht="42.75">
      <c r="A113" s="22" t="s">
        <v>63</v>
      </c>
      <c r="B113" s="14" t="s">
        <v>57</v>
      </c>
      <c r="C113" s="11" t="s">
        <v>194</v>
      </c>
      <c r="D113" s="13" t="s">
        <v>191</v>
      </c>
      <c r="E113" s="28" t="s">
        <v>12</v>
      </c>
      <c r="F113" s="43">
        <v>3984.29</v>
      </c>
      <c r="G113" s="296" t="s">
        <v>185</v>
      </c>
      <c r="H113" s="297"/>
      <c r="I113" s="26"/>
    </row>
    <row r="114" spans="1:9" s="27" customFormat="1" ht="27" customHeight="1">
      <c r="A114" s="22" t="s">
        <v>83</v>
      </c>
      <c r="B114" s="14" t="s">
        <v>57</v>
      </c>
      <c r="C114" s="28" t="s">
        <v>35</v>
      </c>
      <c r="D114" s="9" t="s">
        <v>34</v>
      </c>
      <c r="E114" s="28" t="s">
        <v>12</v>
      </c>
      <c r="F114" s="43">
        <f>F113-F115-F116</f>
        <v>3729.66</v>
      </c>
      <c r="G114" s="298" t="s">
        <v>184</v>
      </c>
      <c r="H114" s="299"/>
      <c r="I114" s="26"/>
    </row>
    <row r="115" spans="1:9" s="27" customFormat="1" ht="15.75" customHeight="1">
      <c r="A115" s="22" t="s">
        <v>84</v>
      </c>
      <c r="B115" s="14" t="s">
        <v>57</v>
      </c>
      <c r="C115" s="28" t="s">
        <v>82</v>
      </c>
      <c r="D115" s="9" t="s">
        <v>79</v>
      </c>
      <c r="E115" s="28" t="s">
        <v>12</v>
      </c>
      <c r="F115" s="43">
        <v>136.85</v>
      </c>
      <c r="G115" s="284" t="s">
        <v>102</v>
      </c>
      <c r="H115" s="285"/>
      <c r="I115" s="26"/>
    </row>
    <row r="116" spans="1:9" s="27" customFormat="1" ht="15.75" customHeight="1">
      <c r="A116" s="22" t="s">
        <v>88</v>
      </c>
      <c r="B116" s="14" t="s">
        <v>57</v>
      </c>
      <c r="C116" s="28" t="s">
        <v>81</v>
      </c>
      <c r="D116" s="9" t="s">
        <v>80</v>
      </c>
      <c r="E116" s="28" t="s">
        <v>12</v>
      </c>
      <c r="F116" s="43">
        <v>117.78</v>
      </c>
      <c r="G116" s="284" t="s">
        <v>102</v>
      </c>
      <c r="H116" s="285"/>
      <c r="I116" s="26"/>
    </row>
    <row r="117" spans="1:9" s="27" customFormat="1" ht="15.75" customHeight="1">
      <c r="A117" s="22" t="s">
        <v>92</v>
      </c>
      <c r="B117" s="14" t="s">
        <v>57</v>
      </c>
      <c r="C117" s="28" t="s">
        <v>86</v>
      </c>
      <c r="D117" s="9" t="s">
        <v>85</v>
      </c>
      <c r="E117" s="28" t="s">
        <v>68</v>
      </c>
      <c r="F117" s="43">
        <v>6</v>
      </c>
      <c r="G117" s="284" t="s">
        <v>102</v>
      </c>
      <c r="H117" s="285"/>
      <c r="I117" s="26"/>
    </row>
    <row r="118" spans="1:9" s="27" customFormat="1" ht="15.75" customHeight="1">
      <c r="A118" s="22" t="s">
        <v>93</v>
      </c>
      <c r="B118" s="14" t="s">
        <v>57</v>
      </c>
      <c r="C118" s="28" t="s">
        <v>244</v>
      </c>
      <c r="D118" s="9" t="s">
        <v>243</v>
      </c>
      <c r="E118" s="28" t="s">
        <v>68</v>
      </c>
      <c r="F118" s="43">
        <v>6</v>
      </c>
      <c r="G118" s="284" t="s">
        <v>102</v>
      </c>
      <c r="H118" s="285"/>
      <c r="I118" s="26"/>
    </row>
    <row r="119" spans="1:9" s="27" customFormat="1" ht="15.75" customHeight="1">
      <c r="A119" s="22"/>
      <c r="B119" s="14"/>
      <c r="C119" s="28"/>
      <c r="D119" s="9"/>
      <c r="E119" s="28"/>
      <c r="F119" s="43"/>
      <c r="G119" s="286"/>
      <c r="H119" s="287"/>
      <c r="I119" s="26"/>
    </row>
    <row r="120" spans="1:9">
      <c r="A120" s="52">
        <v>6</v>
      </c>
      <c r="B120" s="5"/>
      <c r="C120" s="5"/>
      <c r="D120" s="5" t="s">
        <v>53</v>
      </c>
      <c r="E120" s="48"/>
      <c r="F120" s="49"/>
      <c r="G120" s="288"/>
      <c r="H120" s="289"/>
      <c r="I120" s="8"/>
    </row>
    <row r="121" spans="1:9" ht="65.25" customHeight="1">
      <c r="A121" s="15" t="s">
        <v>164</v>
      </c>
      <c r="B121" s="28" t="s">
        <v>57</v>
      </c>
      <c r="C121" s="28" t="s">
        <v>284</v>
      </c>
      <c r="D121" s="16" t="s">
        <v>285</v>
      </c>
      <c r="E121" s="15" t="s">
        <v>12</v>
      </c>
      <c r="F121" s="220">
        <f>(11.66*11)+(2*1.2)</f>
        <v>130.66</v>
      </c>
      <c r="G121" s="290" t="s">
        <v>503</v>
      </c>
      <c r="H121" s="291"/>
      <c r="I121" s="8"/>
    </row>
    <row r="122" spans="1:9" ht="46.5" customHeight="1">
      <c r="A122" s="15" t="s">
        <v>165</v>
      </c>
      <c r="B122" s="28" t="s">
        <v>57</v>
      </c>
      <c r="C122" s="15" t="s">
        <v>89</v>
      </c>
      <c r="D122" s="47" t="s">
        <v>445</v>
      </c>
      <c r="E122" s="15" t="s">
        <v>12</v>
      </c>
      <c r="F122" s="33">
        <f>(128.26*0.5)+2.63+(0.8*2.1*6*2)</f>
        <v>86.919999999999987</v>
      </c>
      <c r="G122" s="282" t="s">
        <v>510</v>
      </c>
      <c r="H122" s="283"/>
      <c r="I122" s="8"/>
    </row>
    <row r="123" spans="1:9" ht="46.5" customHeight="1">
      <c r="A123" s="15" t="s">
        <v>166</v>
      </c>
      <c r="B123" s="28" t="s">
        <v>57</v>
      </c>
      <c r="C123" s="15" t="s">
        <v>90</v>
      </c>
      <c r="D123" s="47" t="s">
        <v>519</v>
      </c>
      <c r="E123" s="15" t="s">
        <v>12</v>
      </c>
      <c r="F123" s="33">
        <f>(33.56*3)+((3.65+2.71)*14)+(27.8*2)</f>
        <v>245.32</v>
      </c>
      <c r="G123" s="282" t="s">
        <v>520</v>
      </c>
      <c r="H123" s="283"/>
      <c r="I123" s="8"/>
    </row>
    <row r="124" spans="1:9" ht="37.5" customHeight="1">
      <c r="A124" s="15" t="s">
        <v>167</v>
      </c>
      <c r="B124" s="28" t="s">
        <v>57</v>
      </c>
      <c r="C124" s="15" t="s">
        <v>94</v>
      </c>
      <c r="D124" s="16" t="s">
        <v>442</v>
      </c>
      <c r="E124" s="15" t="s">
        <v>12</v>
      </c>
      <c r="F124" s="33">
        <f>(49.6*3)+(1338.87*0.12*0.4)+33.544</f>
        <v>246.60975999999999</v>
      </c>
      <c r="G124" s="282" t="s">
        <v>497</v>
      </c>
      <c r="H124" s="283"/>
      <c r="I124" s="8"/>
    </row>
    <row r="125" spans="1:9" ht="37.5" customHeight="1">
      <c r="A125" s="15" t="s">
        <v>168</v>
      </c>
      <c r="B125" s="28" t="s">
        <v>57</v>
      </c>
      <c r="C125" s="15" t="s">
        <v>446</v>
      </c>
      <c r="D125" s="16" t="s">
        <v>447</v>
      </c>
      <c r="E125" s="15" t="s">
        <v>12</v>
      </c>
      <c r="F125" s="33">
        <f>27.8*2</f>
        <v>55.6</v>
      </c>
      <c r="G125" s="282" t="s">
        <v>511</v>
      </c>
      <c r="H125" s="283"/>
      <c r="I125" s="8"/>
    </row>
    <row r="126" spans="1:9" ht="30.75" customHeight="1">
      <c r="A126" s="15" t="s">
        <v>523</v>
      </c>
      <c r="B126" s="28" t="s">
        <v>57</v>
      </c>
      <c r="C126" s="28" t="s">
        <v>232</v>
      </c>
      <c r="D126" s="12" t="s">
        <v>231</v>
      </c>
      <c r="E126" s="28" t="s">
        <v>12</v>
      </c>
      <c r="F126" s="45">
        <f>7.7*4</f>
        <v>30.8</v>
      </c>
      <c r="G126" s="281" t="s">
        <v>498</v>
      </c>
      <c r="H126" s="281"/>
      <c r="I126" s="8"/>
    </row>
    <row r="127" spans="1:9" ht="45" customHeight="1">
      <c r="A127" s="15" t="s">
        <v>223</v>
      </c>
      <c r="B127" s="28" t="s">
        <v>57</v>
      </c>
      <c r="C127" s="28" t="s">
        <v>236</v>
      </c>
      <c r="D127" s="12" t="s">
        <v>235</v>
      </c>
      <c r="E127" s="28" t="s">
        <v>12</v>
      </c>
      <c r="F127" s="45">
        <f>30.8+(0.25*23.4)</f>
        <v>36.65</v>
      </c>
      <c r="G127" s="281" t="s">
        <v>522</v>
      </c>
      <c r="H127" s="281"/>
      <c r="I127" s="8"/>
    </row>
    <row r="128" spans="1:9" ht="33" customHeight="1">
      <c r="A128" s="15" t="s">
        <v>229</v>
      </c>
      <c r="B128" s="28" t="s">
        <v>57</v>
      </c>
      <c r="C128" s="28" t="s">
        <v>239</v>
      </c>
      <c r="D128" s="12" t="s">
        <v>237</v>
      </c>
      <c r="E128" s="28" t="s">
        <v>12</v>
      </c>
      <c r="F128" s="45">
        <f>32.34+(0.25*23.8)+(54.73*0.25)</f>
        <v>51.972500000000004</v>
      </c>
      <c r="G128" s="281" t="s">
        <v>306</v>
      </c>
      <c r="H128" s="281"/>
      <c r="I128" s="8"/>
    </row>
    <row r="129" spans="1:9" ht="29.25" customHeight="1">
      <c r="A129" s="15" t="s">
        <v>233</v>
      </c>
      <c r="B129" s="28" t="s">
        <v>57</v>
      </c>
      <c r="C129" s="28" t="s">
        <v>347</v>
      </c>
      <c r="D129" s="12" t="s">
        <v>346</v>
      </c>
      <c r="E129" s="28" t="s">
        <v>14</v>
      </c>
      <c r="F129" s="45">
        <f>1.75*2</f>
        <v>3.5</v>
      </c>
      <c r="G129" s="282" t="s">
        <v>499</v>
      </c>
      <c r="H129" s="283"/>
      <c r="I129" s="8"/>
    </row>
    <row r="130" spans="1:9" ht="28.5" customHeight="1">
      <c r="A130" s="15" t="s">
        <v>234</v>
      </c>
      <c r="B130" s="28" t="s">
        <v>57</v>
      </c>
      <c r="C130" s="28" t="s">
        <v>355</v>
      </c>
      <c r="D130" s="12" t="s">
        <v>354</v>
      </c>
      <c r="E130" s="28" t="s">
        <v>12</v>
      </c>
      <c r="F130" s="45">
        <f>((7*0.25)*4+(1.6*0.25)*4)</f>
        <v>8.6</v>
      </c>
      <c r="G130" s="281" t="s">
        <v>500</v>
      </c>
      <c r="H130" s="281"/>
      <c r="I130" s="8"/>
    </row>
    <row r="131" spans="1:9" ht="29.25" customHeight="1">
      <c r="A131" s="15" t="s">
        <v>238</v>
      </c>
      <c r="B131" s="28" t="s">
        <v>57</v>
      </c>
      <c r="C131" s="28" t="s">
        <v>297</v>
      </c>
      <c r="D131" s="12" t="s">
        <v>296</v>
      </c>
      <c r="E131" s="28" t="s">
        <v>33</v>
      </c>
      <c r="F131" s="45">
        <v>4</v>
      </c>
      <c r="G131" s="275" t="s">
        <v>298</v>
      </c>
      <c r="H131" s="276"/>
      <c r="I131" s="8"/>
    </row>
    <row r="132" spans="1:9" ht="29.25" customHeight="1">
      <c r="A132" s="15" t="s">
        <v>240</v>
      </c>
      <c r="B132" s="28" t="s">
        <v>57</v>
      </c>
      <c r="C132" s="195" t="s">
        <v>357</v>
      </c>
      <c r="D132" s="204" t="s">
        <v>356</v>
      </c>
      <c r="E132" s="195" t="s">
        <v>12</v>
      </c>
      <c r="F132" s="206">
        <f>31.21</f>
        <v>31.21</v>
      </c>
      <c r="G132" s="275" t="s">
        <v>501</v>
      </c>
      <c r="H132" s="276"/>
      <c r="I132" s="8"/>
    </row>
    <row r="133" spans="1:9" ht="34.5" customHeight="1">
      <c r="A133" s="15" t="s">
        <v>248</v>
      </c>
      <c r="B133" s="28" t="s">
        <v>57</v>
      </c>
      <c r="C133" s="195" t="s">
        <v>406</v>
      </c>
      <c r="D133" s="204" t="s">
        <v>405</v>
      </c>
      <c r="E133" s="195" t="s">
        <v>33</v>
      </c>
      <c r="F133" s="206">
        <v>2</v>
      </c>
      <c r="G133" s="275" t="s">
        <v>501</v>
      </c>
      <c r="H133" s="276"/>
      <c r="I133" s="8"/>
    </row>
    <row r="134" spans="1:9" ht="34.5" customHeight="1">
      <c r="A134" s="15" t="s">
        <v>353</v>
      </c>
      <c r="B134" s="28" t="s">
        <v>57</v>
      </c>
      <c r="C134" s="195" t="s">
        <v>408</v>
      </c>
      <c r="D134" s="204" t="s">
        <v>407</v>
      </c>
      <c r="E134" s="195" t="s">
        <v>33</v>
      </c>
      <c r="F134" s="206">
        <v>2</v>
      </c>
      <c r="G134" s="275" t="s">
        <v>501</v>
      </c>
      <c r="H134" s="276"/>
      <c r="I134" s="8"/>
    </row>
    <row r="135" spans="1:9" ht="34.5" customHeight="1">
      <c r="A135" s="15" t="s">
        <v>449</v>
      </c>
      <c r="B135" s="28" t="s">
        <v>57</v>
      </c>
      <c r="C135" s="195" t="s">
        <v>450</v>
      </c>
      <c r="D135" s="204" t="s">
        <v>451</v>
      </c>
      <c r="E135" s="195" t="s">
        <v>12</v>
      </c>
      <c r="F135" s="206">
        <f>(0.8*2.1)*2</f>
        <v>3.3600000000000003</v>
      </c>
      <c r="G135" s="277" t="s">
        <v>502</v>
      </c>
      <c r="H135" s="278"/>
      <c r="I135" s="8"/>
    </row>
    <row r="136" spans="1:9">
      <c r="A136" s="25"/>
      <c r="B136" s="25"/>
      <c r="C136" s="25"/>
      <c r="D136" s="25"/>
      <c r="E136" s="25"/>
      <c r="F136" s="25"/>
      <c r="G136" s="25"/>
      <c r="H136" s="25"/>
      <c r="I136" s="8"/>
    </row>
    <row r="137" spans="1:9">
      <c r="E137" s="262"/>
      <c r="F137" s="262"/>
      <c r="G137" s="262"/>
      <c r="H137" s="262"/>
    </row>
    <row r="138" spans="1:9">
      <c r="E138" s="263" t="s">
        <v>15</v>
      </c>
      <c r="F138" s="263"/>
      <c r="G138" s="263"/>
      <c r="H138" s="263"/>
    </row>
    <row r="139" spans="1:9">
      <c r="A139" s="53"/>
      <c r="B139" s="53"/>
      <c r="C139" s="53"/>
      <c r="D139" s="53"/>
      <c r="E139" s="279" t="s">
        <v>206</v>
      </c>
      <c r="F139" s="279"/>
      <c r="G139" s="279"/>
      <c r="H139" s="279"/>
    </row>
    <row r="140" spans="1:9">
      <c r="E140" s="280"/>
      <c r="F140" s="280"/>
      <c r="G140" s="280"/>
      <c r="H140" s="280"/>
      <c r="I140" s="8"/>
    </row>
  </sheetData>
  <mergeCells count="132">
    <mergeCell ref="G14:H14"/>
    <mergeCell ref="G15:H15"/>
    <mergeCell ref="G16:H16"/>
    <mergeCell ref="G17:H17"/>
    <mergeCell ref="G18:H18"/>
    <mergeCell ref="G19:H19"/>
    <mergeCell ref="A1:H8"/>
    <mergeCell ref="A9:H9"/>
    <mergeCell ref="A10:H10"/>
    <mergeCell ref="B11:H11"/>
    <mergeCell ref="B12:H12"/>
    <mergeCell ref="E13:H13"/>
    <mergeCell ref="G26:H26"/>
    <mergeCell ref="G27:H27"/>
    <mergeCell ref="G28:H28"/>
    <mergeCell ref="G29:H29"/>
    <mergeCell ref="G30:H30"/>
    <mergeCell ref="G31:H31"/>
    <mergeCell ref="G20:H20"/>
    <mergeCell ref="G21:H21"/>
    <mergeCell ref="G22:H22"/>
    <mergeCell ref="G23:H23"/>
    <mergeCell ref="G24:H24"/>
    <mergeCell ref="G25:H25"/>
    <mergeCell ref="G38:H38"/>
    <mergeCell ref="G39:H39"/>
    <mergeCell ref="G40:H40"/>
    <mergeCell ref="G41:H41"/>
    <mergeCell ref="G42:H42"/>
    <mergeCell ref="G43:H43"/>
    <mergeCell ref="G32:H32"/>
    <mergeCell ref="G33:H33"/>
    <mergeCell ref="G34:H34"/>
    <mergeCell ref="G35:H35"/>
    <mergeCell ref="G36:H36"/>
    <mergeCell ref="G37:H37"/>
    <mergeCell ref="G50:H50"/>
    <mergeCell ref="G51:H51"/>
    <mergeCell ref="G52:H52"/>
    <mergeCell ref="G53:H53"/>
    <mergeCell ref="G54:H54"/>
    <mergeCell ref="G55:H55"/>
    <mergeCell ref="G44:H44"/>
    <mergeCell ref="G45:H45"/>
    <mergeCell ref="G46:H46"/>
    <mergeCell ref="G47:H47"/>
    <mergeCell ref="G48:H48"/>
    <mergeCell ref="G49:H49"/>
    <mergeCell ref="G63:H63"/>
    <mergeCell ref="G64:H64"/>
    <mergeCell ref="G65:H65"/>
    <mergeCell ref="G66:H66"/>
    <mergeCell ref="G67:H67"/>
    <mergeCell ref="G68:H68"/>
    <mergeCell ref="G56:H56"/>
    <mergeCell ref="G57:H57"/>
    <mergeCell ref="G58:H58"/>
    <mergeCell ref="G59:H59"/>
    <mergeCell ref="G61:H61"/>
    <mergeCell ref="G62:H62"/>
    <mergeCell ref="G75:H75"/>
    <mergeCell ref="G76:H76"/>
    <mergeCell ref="G77:H77"/>
    <mergeCell ref="G78:H78"/>
    <mergeCell ref="G79:H79"/>
    <mergeCell ref="G80:H80"/>
    <mergeCell ref="G69:H69"/>
    <mergeCell ref="G70:H70"/>
    <mergeCell ref="G71:H71"/>
    <mergeCell ref="G72:H72"/>
    <mergeCell ref="G73:H73"/>
    <mergeCell ref="G74:H74"/>
    <mergeCell ref="G87:H87"/>
    <mergeCell ref="G88:H88"/>
    <mergeCell ref="G89:H89"/>
    <mergeCell ref="G90:H90"/>
    <mergeCell ref="G91:H91"/>
    <mergeCell ref="G92:H92"/>
    <mergeCell ref="G81:H81"/>
    <mergeCell ref="G82:H82"/>
    <mergeCell ref="G83:H83"/>
    <mergeCell ref="G84:H84"/>
    <mergeCell ref="G85:H85"/>
    <mergeCell ref="G86:H86"/>
    <mergeCell ref="G99:H99"/>
    <mergeCell ref="G100:H100"/>
    <mergeCell ref="G101:H101"/>
    <mergeCell ref="G102:H102"/>
    <mergeCell ref="G103:H103"/>
    <mergeCell ref="G104:H104"/>
    <mergeCell ref="G93:H93"/>
    <mergeCell ref="G94:H94"/>
    <mergeCell ref="G95:H95"/>
    <mergeCell ref="G96:H96"/>
    <mergeCell ref="G97:H97"/>
    <mergeCell ref="G98:H98"/>
    <mergeCell ref="G123:H123"/>
    <mergeCell ref="G124:H124"/>
    <mergeCell ref="G125:H125"/>
    <mergeCell ref="G60:H60"/>
    <mergeCell ref="G126:H126"/>
    <mergeCell ref="G127:H127"/>
    <mergeCell ref="G117:H117"/>
    <mergeCell ref="G118:H118"/>
    <mergeCell ref="G119:H119"/>
    <mergeCell ref="G120:H120"/>
    <mergeCell ref="G121:H121"/>
    <mergeCell ref="G122:H122"/>
    <mergeCell ref="G111:H111"/>
    <mergeCell ref="G112:H112"/>
    <mergeCell ref="G113:H113"/>
    <mergeCell ref="G114:H114"/>
    <mergeCell ref="G115:H115"/>
    <mergeCell ref="G116:H116"/>
    <mergeCell ref="G105:H105"/>
    <mergeCell ref="G106:H106"/>
    <mergeCell ref="G107:H107"/>
    <mergeCell ref="G108:H108"/>
    <mergeCell ref="G109:H109"/>
    <mergeCell ref="G110:H110"/>
    <mergeCell ref="G134:H134"/>
    <mergeCell ref="G135:H135"/>
    <mergeCell ref="E137:H137"/>
    <mergeCell ref="E138:H138"/>
    <mergeCell ref="E139:H139"/>
    <mergeCell ref="E140:H140"/>
    <mergeCell ref="G128:H128"/>
    <mergeCell ref="G129:H129"/>
    <mergeCell ref="G130:H130"/>
    <mergeCell ref="G131:H131"/>
    <mergeCell ref="G132:H132"/>
    <mergeCell ref="G133:H133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Footer xml:space="preserve">&amp;C&amp;"Arial,Normal"&amp;8Prefeitura Municipal da Estância Turística de Paraguaçu Paulista - Rua Polidoro Simões, 533 (sede provisória) CEP 19.700-000Fone: (18)3361-9100 - Fax: (18)3361-1331 – Estância Turística de Paraguaçu Paulista - SP </oddFooter>
  </headerFooter>
  <rowBreaks count="4" manualBreakCount="4">
    <brk id="33" max="7" man="1"/>
    <brk id="50" max="7" man="1"/>
    <brk id="76" max="7" man="1"/>
    <brk id="111" max="7" man="1"/>
  </rowBreaks>
  <colBreaks count="1" manualBreakCount="1">
    <brk id="3" max="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37"/>
  <sheetViews>
    <sheetView view="pageBreakPreview" zoomScale="70" zoomScaleNormal="120" zoomScaleSheetLayoutView="70" workbookViewId="0">
      <selection activeCell="E58" sqref="E58"/>
    </sheetView>
  </sheetViews>
  <sheetFormatPr defaultRowHeight="12.75"/>
  <cols>
    <col min="1" max="1" width="2.42578125" style="60" customWidth="1"/>
    <col min="2" max="2" width="6.28515625" style="60" customWidth="1"/>
    <col min="3" max="3" width="26.85546875" style="60" customWidth="1"/>
    <col min="4" max="5" width="15.85546875" style="60" customWidth="1"/>
    <col min="6" max="6" width="17" style="60" bestFit="1" customWidth="1"/>
    <col min="7" max="7" width="15.140625" style="60" customWidth="1"/>
    <col min="8" max="8" width="15.85546875" style="60" customWidth="1"/>
    <col min="9" max="9" width="15.140625" style="60" customWidth="1"/>
    <col min="10" max="15" width="15.28515625" style="60" customWidth="1"/>
    <col min="16" max="16" width="21.28515625" style="60" customWidth="1"/>
    <col min="17" max="17" width="18.7109375" style="60" customWidth="1"/>
    <col min="18" max="18" width="12.5703125" style="60" customWidth="1"/>
    <col min="19" max="19" width="13.42578125" style="60" customWidth="1"/>
    <col min="20" max="20" width="10.7109375" style="60" customWidth="1"/>
    <col min="21" max="1025" width="8.42578125" style="60" customWidth="1"/>
    <col min="1026" max="16384" width="9.140625" style="60"/>
  </cols>
  <sheetData>
    <row r="1" spans="1:20" ht="12.75" customHeight="1">
      <c r="A1" s="323"/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7"/>
    </row>
    <row r="2" spans="1:20" ht="12.75" customHeight="1">
      <c r="A2" s="325"/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8"/>
    </row>
    <row r="3" spans="1:20" ht="12.75" customHeight="1">
      <c r="A3" s="325"/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8"/>
    </row>
    <row r="4" spans="1:20" ht="12.75" customHeight="1">
      <c r="A4" s="325"/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8"/>
    </row>
    <row r="5" spans="1:20" ht="12.75" customHeight="1">
      <c r="A5" s="325"/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8"/>
    </row>
    <row r="6" spans="1:20" ht="12.75" customHeight="1">
      <c r="A6" s="325"/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8"/>
    </row>
    <row r="7" spans="1:20" ht="12.75" customHeight="1">
      <c r="A7" s="353" t="s">
        <v>103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5"/>
    </row>
    <row r="8" spans="1:20">
      <c r="A8" s="356" t="s">
        <v>104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8"/>
    </row>
    <row r="9" spans="1:20">
      <c r="A9" s="61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3"/>
    </row>
    <row r="10" spans="1:20" ht="12" customHeight="1">
      <c r="A10" s="359" t="s">
        <v>105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1"/>
    </row>
    <row r="11" spans="1:20" ht="8.1" customHeight="1">
      <c r="A11" s="350"/>
      <c r="B11" s="351"/>
      <c r="C11" s="351"/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2"/>
    </row>
    <row r="12" spans="1:20" ht="17.25" customHeight="1">
      <c r="A12" s="341" t="s">
        <v>179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</row>
    <row r="13" spans="1:20" ht="18" customHeight="1">
      <c r="A13" s="341" t="s">
        <v>180</v>
      </c>
      <c r="B13" s="341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R13" s="118"/>
      <c r="S13" s="118"/>
      <c r="T13" s="118"/>
    </row>
    <row r="14" spans="1:20" ht="15" customHeight="1">
      <c r="A14" s="341" t="s">
        <v>181</v>
      </c>
      <c r="B14" s="341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R14" s="118"/>
      <c r="S14" s="118"/>
      <c r="T14" s="118"/>
    </row>
    <row r="15" spans="1:20" ht="15" customHeight="1">
      <c r="A15" s="342" t="s">
        <v>182</v>
      </c>
      <c r="B15" s="342"/>
      <c r="C15" s="342"/>
      <c r="D15" s="342"/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R15" s="119"/>
      <c r="S15" s="119"/>
      <c r="T15" s="118"/>
    </row>
    <row r="16" spans="1:20" ht="12.75" customHeight="1">
      <c r="A16" s="343"/>
      <c r="B16" s="344"/>
      <c r="C16" s="344"/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5"/>
      <c r="R16" s="118"/>
      <c r="S16" s="118"/>
      <c r="T16" s="118"/>
    </row>
    <row r="17" spans="1:29" ht="15" customHeight="1">
      <c r="A17" s="65"/>
      <c r="B17" s="66"/>
      <c r="C17" s="67" t="s">
        <v>106</v>
      </c>
      <c r="D17" s="247" t="s">
        <v>107</v>
      </c>
      <c r="E17" s="247" t="s">
        <v>108</v>
      </c>
      <c r="F17" s="247" t="s">
        <v>109</v>
      </c>
      <c r="G17" s="247" t="s">
        <v>110</v>
      </c>
      <c r="H17" s="247" t="s">
        <v>111</v>
      </c>
      <c r="I17" s="247" t="s">
        <v>112</v>
      </c>
      <c r="J17" s="247" t="s">
        <v>113</v>
      </c>
      <c r="K17" s="247" t="s">
        <v>114</v>
      </c>
      <c r="L17" s="247" t="s">
        <v>348</v>
      </c>
      <c r="M17" s="247" t="s">
        <v>349</v>
      </c>
      <c r="N17" s="247" t="s">
        <v>350</v>
      </c>
      <c r="O17" s="247" t="s">
        <v>351</v>
      </c>
      <c r="P17" s="346" t="s">
        <v>115</v>
      </c>
      <c r="R17" s="118"/>
      <c r="S17" s="118"/>
      <c r="T17" s="118"/>
    </row>
    <row r="18" spans="1:29" ht="15" customHeight="1" thickBot="1">
      <c r="A18" s="347" t="s">
        <v>116</v>
      </c>
      <c r="B18" s="348"/>
      <c r="C18" s="349"/>
      <c r="D18" s="68">
        <v>30</v>
      </c>
      <c r="E18" s="69">
        <v>60</v>
      </c>
      <c r="F18" s="68">
        <v>90</v>
      </c>
      <c r="G18" s="69">
        <v>120</v>
      </c>
      <c r="H18" s="68">
        <v>150</v>
      </c>
      <c r="I18" s="69">
        <v>180</v>
      </c>
      <c r="J18" s="68">
        <v>210</v>
      </c>
      <c r="K18" s="69">
        <v>240</v>
      </c>
      <c r="L18" s="68">
        <v>270</v>
      </c>
      <c r="M18" s="69">
        <v>300</v>
      </c>
      <c r="N18" s="68">
        <v>330</v>
      </c>
      <c r="O18" s="69">
        <v>360</v>
      </c>
      <c r="P18" s="333"/>
    </row>
    <row r="19" spans="1:29" ht="21" customHeight="1">
      <c r="A19" s="335"/>
      <c r="B19" s="336" t="s">
        <v>117</v>
      </c>
      <c r="C19" s="338" t="s">
        <v>171</v>
      </c>
      <c r="D19" s="64">
        <f>D20/P20</f>
        <v>0.42388810975631475</v>
      </c>
      <c r="E19" s="64">
        <f>E20/P20</f>
        <v>0.3096623677067315</v>
      </c>
      <c r="F19" s="64">
        <f>F20/P20</f>
        <v>0.26644952253695381</v>
      </c>
      <c r="G19" s="64"/>
      <c r="H19" s="64"/>
      <c r="I19" s="64"/>
      <c r="J19" s="64"/>
      <c r="K19" s="64"/>
      <c r="L19" s="64"/>
      <c r="M19" s="64"/>
      <c r="N19" s="64"/>
      <c r="O19" s="64"/>
      <c r="P19" s="72">
        <f>'CRONOGRAMA FÍSICOFINANCEIRO (2'!P20/$P$32</f>
        <v>0.13689669473846683</v>
      </c>
      <c r="Q19" s="76"/>
    </row>
    <row r="20" spans="1:29" ht="21" customHeight="1">
      <c r="A20" s="335"/>
      <c r="B20" s="337"/>
      <c r="C20" s="331"/>
      <c r="D20" s="107">
        <f>79363.53-10000-5000-2350.36-1000-1000-500</f>
        <v>59513.17</v>
      </c>
      <c r="E20" s="108">
        <f>15194.56+9810.04+9460.4+9011.07</f>
        <v>43476.07</v>
      </c>
      <c r="F20" s="190">
        <f>25194.56+2841+2841+6532.5</f>
        <v>37409.06</v>
      </c>
      <c r="G20" s="190"/>
      <c r="H20" s="190"/>
      <c r="I20" s="190"/>
      <c r="J20" s="190"/>
      <c r="K20" s="190"/>
      <c r="L20" s="190"/>
      <c r="M20" s="190"/>
      <c r="N20" s="190"/>
      <c r="O20" s="190"/>
      <c r="P20" s="75">
        <f>SUM(D20:O20)</f>
        <v>140398.29999999999</v>
      </c>
      <c r="Q20" s="76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</row>
    <row r="21" spans="1:29" ht="21" customHeight="1">
      <c r="A21" s="335"/>
      <c r="B21" s="329" t="s">
        <v>118</v>
      </c>
      <c r="C21" s="339" t="s">
        <v>172</v>
      </c>
      <c r="D21" s="110"/>
      <c r="E21" s="111"/>
      <c r="F21" s="111"/>
      <c r="G21" s="111">
        <f>G22/P22</f>
        <v>0.20208293797554486</v>
      </c>
      <c r="H21" s="111">
        <f>H22/P22</f>
        <v>0.3233217734054894</v>
      </c>
      <c r="I21" s="111">
        <f>I22/P22</f>
        <v>0.31901752646198095</v>
      </c>
      <c r="J21" s="111">
        <f>J22/P22</f>
        <v>0.15557776215698482</v>
      </c>
      <c r="K21" s="111"/>
      <c r="L21" s="111"/>
      <c r="M21" s="111"/>
      <c r="N21" s="111"/>
      <c r="O21" s="111"/>
      <c r="P21" s="120">
        <f>P22/P32</f>
        <v>0.5086170346110529</v>
      </c>
      <c r="Q21" s="76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</row>
    <row r="22" spans="1:29" ht="21.75" customHeight="1">
      <c r="A22" s="335"/>
      <c r="B22" s="330"/>
      <c r="C22" s="340"/>
      <c r="D22" s="112"/>
      <c r="E22" s="113"/>
      <c r="F22" s="113"/>
      <c r="G22" s="113">
        <v>105411.85</v>
      </c>
      <c r="H22" s="113">
        <f>199488.55-30835.29</f>
        <v>168653.25999999998</v>
      </c>
      <c r="I22" s="113">
        <f>216726.3-50318.25</f>
        <v>166408.04999999999</v>
      </c>
      <c r="J22" s="113">
        <f>50318.25+30835.29-0.03</f>
        <v>81153.510000000009</v>
      </c>
      <c r="K22" s="113"/>
      <c r="L22" s="113"/>
      <c r="M22" s="113"/>
      <c r="N22" s="113"/>
      <c r="O22" s="113"/>
      <c r="P22" s="105">
        <f>SUM(D22:O22)</f>
        <v>521626.67</v>
      </c>
      <c r="Q22" s="76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</row>
    <row r="23" spans="1:29" ht="19.5" customHeight="1">
      <c r="A23" s="335"/>
      <c r="B23" s="329" t="s">
        <v>119</v>
      </c>
      <c r="C23" s="331" t="s">
        <v>127</v>
      </c>
      <c r="D23" s="106"/>
      <c r="E23" s="64"/>
      <c r="F23" s="64"/>
      <c r="G23" s="106">
        <f>G24/P24</f>
        <v>0.19017358472448426</v>
      </c>
      <c r="H23" s="64">
        <f>H24/P24</f>
        <v>0.17689197897388542</v>
      </c>
      <c r="I23" s="106"/>
      <c r="J23" s="64"/>
      <c r="K23" s="64">
        <f>K24/P24</f>
        <v>0.12006205509490184</v>
      </c>
      <c r="L23" s="64">
        <f>L24/P24</f>
        <v>0.15514748962685174</v>
      </c>
      <c r="M23" s="64">
        <f>M24/P24</f>
        <v>0.16901903888120787</v>
      </c>
      <c r="N23" s="64">
        <f>N24/P24</f>
        <v>0.18870585269866896</v>
      </c>
      <c r="O23" s="64"/>
      <c r="P23" s="72">
        <f>P24/$P$32</f>
        <v>0.12997630751699199</v>
      </c>
      <c r="Q23" s="76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</row>
    <row r="24" spans="1:29" ht="21" customHeight="1">
      <c r="A24" s="335"/>
      <c r="B24" s="330"/>
      <c r="C24" s="331"/>
      <c r="D24" s="107"/>
      <c r="E24" s="108"/>
      <c r="F24" s="108"/>
      <c r="G24" s="107">
        <v>25350.31</v>
      </c>
      <c r="H24" s="108">
        <v>23579.86</v>
      </c>
      <c r="I24" s="107"/>
      <c r="J24" s="108"/>
      <c r="K24" s="114">
        <v>16004.38</v>
      </c>
      <c r="L24" s="114">
        <v>20681.3</v>
      </c>
      <c r="M24" s="114">
        <v>22530.39</v>
      </c>
      <c r="N24" s="114">
        <v>25154.66</v>
      </c>
      <c r="O24" s="114"/>
      <c r="P24" s="75">
        <f>SUM(D24:O24)</f>
        <v>133300.9</v>
      </c>
      <c r="Q24" s="76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</row>
    <row r="25" spans="1:29" ht="21" customHeight="1">
      <c r="A25" s="335"/>
      <c r="B25" s="329" t="s">
        <v>120</v>
      </c>
      <c r="C25" s="331" t="s">
        <v>128</v>
      </c>
      <c r="D25" s="106"/>
      <c r="E25" s="64"/>
      <c r="F25" s="64"/>
      <c r="G25" s="64">
        <f>G26/P26</f>
        <v>0.19151110541275937</v>
      </c>
      <c r="H25" s="64">
        <f>H26/P26</f>
        <v>0.19645442555740755</v>
      </c>
      <c r="I25" s="64">
        <f>I26/P26</f>
        <v>0.61203446902983316</v>
      </c>
      <c r="J25" s="64"/>
      <c r="K25" s="64"/>
      <c r="L25" s="64"/>
      <c r="M25" s="64"/>
      <c r="N25" s="64"/>
      <c r="O25" s="64"/>
      <c r="P25" s="72">
        <f>P26/$P$32</f>
        <v>1.3004553674075344E-2</v>
      </c>
      <c r="Q25" s="229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</row>
    <row r="26" spans="1:29" ht="20.25" customHeight="1">
      <c r="A26" s="335"/>
      <c r="B26" s="330"/>
      <c r="C26" s="331"/>
      <c r="D26" s="115"/>
      <c r="E26" s="108"/>
      <c r="F26" s="108"/>
      <c r="G26" s="108">
        <v>2554.2199999999998</v>
      </c>
      <c r="H26" s="108">
        <v>2620.15</v>
      </c>
      <c r="I26" s="108">
        <v>8162.82</v>
      </c>
      <c r="J26" s="109"/>
      <c r="K26" s="109"/>
      <c r="L26" s="109"/>
      <c r="M26" s="109"/>
      <c r="N26" s="109"/>
      <c r="O26" s="109"/>
      <c r="P26" s="75">
        <f>SUM(D26:O26)</f>
        <v>13337.189999999999</v>
      </c>
      <c r="Q26" s="76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</row>
    <row r="27" spans="1:29" ht="19.5" customHeight="1">
      <c r="A27" s="335"/>
      <c r="B27" s="329" t="s">
        <v>121</v>
      </c>
      <c r="C27" s="331" t="s">
        <v>129</v>
      </c>
      <c r="D27" s="106"/>
      <c r="E27" s="64"/>
      <c r="F27" s="64"/>
      <c r="G27" s="64"/>
      <c r="H27" s="64"/>
      <c r="I27" s="64"/>
      <c r="J27" s="64"/>
      <c r="K27" s="64"/>
      <c r="L27" s="64"/>
      <c r="M27" s="64"/>
      <c r="N27" s="64">
        <f>N28/P28</f>
        <v>0.59081726052209071</v>
      </c>
      <c r="O27" s="64">
        <f>O28/P28</f>
        <v>0.40918273947790934</v>
      </c>
      <c r="P27" s="72">
        <f>P28/$P$32</f>
        <v>0.10072184141544704</v>
      </c>
      <c r="Q27" s="73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</row>
    <row r="28" spans="1:29" ht="19.5" customHeight="1">
      <c r="A28" s="335"/>
      <c r="B28" s="330"/>
      <c r="C28" s="331"/>
      <c r="D28" s="115"/>
      <c r="E28" s="109"/>
      <c r="F28" s="109"/>
      <c r="G28" s="116"/>
      <c r="H28" s="108"/>
      <c r="I28" s="254"/>
      <c r="J28" s="108"/>
      <c r="K28" s="108"/>
      <c r="L28" s="108"/>
      <c r="M28" s="108"/>
      <c r="N28" s="108">
        <v>61030.33</v>
      </c>
      <c r="O28" s="108">
        <f>42267.71+0.11</f>
        <v>42267.82</v>
      </c>
      <c r="P28" s="75">
        <f>SUM(D28:O28)</f>
        <v>103298.15</v>
      </c>
      <c r="Q28" s="76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</row>
    <row r="29" spans="1:29" ht="21" customHeight="1">
      <c r="A29" s="335"/>
      <c r="B29" s="329" t="s">
        <v>122</v>
      </c>
      <c r="C29" s="331" t="s">
        <v>123</v>
      </c>
      <c r="D29" s="70"/>
      <c r="E29" s="71"/>
      <c r="F29" s="71"/>
      <c r="G29" s="71"/>
      <c r="H29" s="71"/>
      <c r="I29" s="71"/>
      <c r="J29" s="71"/>
      <c r="K29" s="71"/>
      <c r="L29" s="71"/>
      <c r="M29" s="71">
        <f>M30/P30</f>
        <v>0.46843806450499936</v>
      </c>
      <c r="N29" s="71">
        <f>N30/P30</f>
        <v>0.26865658767982747</v>
      </c>
      <c r="O29" s="71">
        <f>O30/P30</f>
        <v>0.26290534781517311</v>
      </c>
      <c r="P29" s="72">
        <f>P30/$P$32</f>
        <v>0.11078356804396582</v>
      </c>
      <c r="Q29" s="76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</row>
    <row r="30" spans="1:29" ht="20.25" customHeight="1">
      <c r="A30" s="335"/>
      <c r="B30" s="330"/>
      <c r="C30" s="331"/>
      <c r="D30" s="78"/>
      <c r="E30" s="74"/>
      <c r="F30" s="74"/>
      <c r="G30" s="74"/>
      <c r="H30" s="79"/>
      <c r="I30" s="79"/>
      <c r="J30" s="79"/>
      <c r="K30" s="79"/>
      <c r="L30" s="79"/>
      <c r="M30" s="253">
        <v>53222.64</v>
      </c>
      <c r="N30" s="79">
        <v>30524.02</v>
      </c>
      <c r="O30" s="79">
        <f>12500.25+17370.33</f>
        <v>29870.58</v>
      </c>
      <c r="P30" s="75">
        <f>SUM(D30:O30)</f>
        <v>113617.24</v>
      </c>
      <c r="Q30" s="76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</row>
    <row r="31" spans="1:29" ht="19.5" customHeight="1">
      <c r="A31" s="332" t="s">
        <v>124</v>
      </c>
      <c r="B31" s="333"/>
      <c r="C31" s="333"/>
      <c r="D31" s="80">
        <f>D32/P32</f>
        <v>5.8028881164575948E-2</v>
      </c>
      <c r="E31" s="81">
        <f>E32/P32</f>
        <v>4.23917546239393E-2</v>
      </c>
      <c r="F31" s="82">
        <f>F32/P32</f>
        <v>3.6476058949951602E-2</v>
      </c>
      <c r="G31" s="82">
        <f>G32/P32</f>
        <v>0.12999140143789098</v>
      </c>
      <c r="H31" s="82">
        <f>H32/P32</f>
        <v>0.18999352999275673</v>
      </c>
      <c r="I31" s="82">
        <f>I32/P32</f>
        <v>0.1702169834009285</v>
      </c>
      <c r="J31" s="82">
        <f>J32/P32</f>
        <v>7.9129500039709297E-2</v>
      </c>
      <c r="K31" s="244">
        <f>K32/P32</f>
        <v>1.5605222594136995E-2</v>
      </c>
      <c r="L31" s="82">
        <f>L32/P32</f>
        <v>2.0165497822229005E-2</v>
      </c>
      <c r="M31" s="82">
        <f>M32/P32</f>
        <v>7.3863710767323551E-2</v>
      </c>
      <c r="N31" s="82">
        <f>N32/P32</f>
        <v>0.11379822772212111</v>
      </c>
      <c r="O31" s="82"/>
      <c r="P31" s="117">
        <f>SUM(P19+P21+P23+P25+P27+P29)</f>
        <v>0.99999999999999989</v>
      </c>
      <c r="Q31" s="228"/>
      <c r="R31" s="83"/>
    </row>
    <row r="32" spans="1:29" ht="20.25" customHeight="1">
      <c r="A32" s="333" t="s">
        <v>125</v>
      </c>
      <c r="B32" s="333"/>
      <c r="C32" s="333"/>
      <c r="D32" s="84">
        <f>D20</f>
        <v>59513.17</v>
      </c>
      <c r="E32" s="85">
        <f>E20</f>
        <v>43476.07</v>
      </c>
      <c r="F32" s="86">
        <f>F20</f>
        <v>37409.06</v>
      </c>
      <c r="G32" s="86">
        <f>G22+G24+G26</f>
        <v>133316.38</v>
      </c>
      <c r="H32" s="87">
        <f>H20+H22+H26+H24</f>
        <v>194853.26999999996</v>
      </c>
      <c r="I32" s="86">
        <f>I26+I22</f>
        <v>174570.87</v>
      </c>
      <c r="J32" s="86">
        <f>J20+J22+J24</f>
        <v>81153.510000000009</v>
      </c>
      <c r="K32" s="86">
        <f>K24+K22+K20</f>
        <v>16004.38</v>
      </c>
      <c r="L32" s="86">
        <f>L28+L24+L22+L20</f>
        <v>20681.3</v>
      </c>
      <c r="M32" s="86">
        <f>M30+M24</f>
        <v>75753.03</v>
      </c>
      <c r="N32" s="86">
        <f>N24+N28+N30</f>
        <v>116709.01000000001</v>
      </c>
      <c r="O32" s="86">
        <f>O28+O30</f>
        <v>72138.399999999994</v>
      </c>
      <c r="P32" s="88">
        <f>SUM(D32:O32)</f>
        <v>1025578.4500000001</v>
      </c>
      <c r="Q32" s="83"/>
    </row>
    <row r="33" spans="1:16" ht="5.0999999999999996" customHeight="1">
      <c r="A33" s="334"/>
      <c r="B33" s="334"/>
      <c r="C33" s="334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248"/>
    </row>
    <row r="34" spans="1:16" ht="36" customHeight="1">
      <c r="A34" s="90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2"/>
    </row>
    <row r="35" spans="1:16" ht="15" customHeight="1">
      <c r="A35" s="93"/>
      <c r="B35" s="94"/>
      <c r="C35" s="94"/>
      <c r="D35" s="94"/>
      <c r="E35" s="94"/>
      <c r="F35" s="94"/>
      <c r="G35" s="94"/>
      <c r="H35" s="94"/>
      <c r="I35" s="94"/>
      <c r="J35" s="118"/>
      <c r="K35" s="249"/>
      <c r="L35" s="249"/>
      <c r="M35" s="321" t="s">
        <v>126</v>
      </c>
      <c r="N35" s="321"/>
      <c r="O35" s="321"/>
      <c r="P35" s="250"/>
    </row>
    <row r="36" spans="1:16" ht="15" customHeight="1">
      <c r="A36" s="93"/>
      <c r="B36" s="94"/>
      <c r="C36" s="94"/>
      <c r="D36" s="94"/>
      <c r="E36" s="94"/>
      <c r="F36" s="94"/>
      <c r="G36" s="94"/>
      <c r="H36" s="94"/>
      <c r="I36" s="94"/>
      <c r="J36" s="118"/>
      <c r="K36" s="249"/>
      <c r="L36" s="249"/>
      <c r="M36" s="321" t="s">
        <v>16</v>
      </c>
      <c r="N36" s="321"/>
      <c r="O36" s="321"/>
      <c r="P36" s="250"/>
    </row>
    <row r="37" spans="1:16" ht="15" customHeight="1">
      <c r="A37" s="95"/>
      <c r="B37" s="96"/>
      <c r="C37" s="96"/>
      <c r="D37" s="96"/>
      <c r="E37" s="96"/>
      <c r="F37" s="96"/>
      <c r="G37" s="96"/>
      <c r="H37" s="96"/>
      <c r="I37" s="96"/>
      <c r="J37" s="255"/>
      <c r="K37" s="251"/>
      <c r="L37" s="251"/>
      <c r="M37" s="322" t="s">
        <v>207</v>
      </c>
      <c r="N37" s="322"/>
      <c r="O37" s="322"/>
      <c r="P37" s="252"/>
    </row>
  </sheetData>
  <mergeCells count="32">
    <mergeCell ref="A13:P13"/>
    <mergeCell ref="A11:P11"/>
    <mergeCell ref="A12:P12"/>
    <mergeCell ref="A7:P7"/>
    <mergeCell ref="A8:P8"/>
    <mergeCell ref="A10:P10"/>
    <mergeCell ref="A14:P14"/>
    <mergeCell ref="A15:P15"/>
    <mergeCell ref="A16:P16"/>
    <mergeCell ref="P17:P18"/>
    <mergeCell ref="A18:C18"/>
    <mergeCell ref="C23:C24"/>
    <mergeCell ref="B25:B26"/>
    <mergeCell ref="C25:C26"/>
    <mergeCell ref="B27:B28"/>
    <mergeCell ref="C27:C28"/>
    <mergeCell ref="M36:O36"/>
    <mergeCell ref="M37:O37"/>
    <mergeCell ref="M35:O35"/>
    <mergeCell ref="A1:K6"/>
    <mergeCell ref="L1:P6"/>
    <mergeCell ref="B29:B30"/>
    <mergeCell ref="C29:C30"/>
    <mergeCell ref="A31:C31"/>
    <mergeCell ref="A32:C32"/>
    <mergeCell ref="A33:C33"/>
    <mergeCell ref="A19:A30"/>
    <mergeCell ref="B19:B20"/>
    <mergeCell ref="C19:C20"/>
    <mergeCell ref="B21:B22"/>
    <mergeCell ref="C21:C22"/>
    <mergeCell ref="B23:B24"/>
  </mergeCells>
  <pageMargins left="0.23622047244094491" right="0.23622047244094491" top="0.74803149606299213" bottom="0.74803149606299213" header="0.31496062992125984" footer="0.31496062992125984"/>
  <pageSetup paperSize="9" scale="57" firstPageNumber="0" fitToHeight="0" orientation="landscape" horizontalDpi="300" verticalDpi="300" r:id="rId1"/>
  <headerFooter>
    <oddFooter>&amp;C&amp;11Prefeitura Municipal da Estância Turística de Paraguaçu Paulista - Av. Siqueira Campos 1430 CEP 19.703-061 - Fone: (18)3361-9100 - Fax: (18) 3361-1331 – Estância Turística de Paraguaçu Paulista - SP&amp;R&amp;P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6"/>
  <sheetViews>
    <sheetView showGridLines="0" view="pageBreakPreview" topLeftCell="A22" zoomScale="85" zoomScaleNormal="120" zoomScaleSheetLayoutView="85" workbookViewId="0">
      <selection activeCell="T23" sqref="T23"/>
    </sheetView>
  </sheetViews>
  <sheetFormatPr defaultRowHeight="15"/>
  <cols>
    <col min="1" max="1" width="6.140625" style="124" customWidth="1"/>
    <col min="2" max="2" width="11.42578125" style="124" customWidth="1"/>
    <col min="3" max="3" width="27.28515625" style="124" customWidth="1"/>
    <col min="4" max="4" width="3.7109375" style="124" customWidth="1"/>
    <col min="5" max="5" width="10.5703125" style="124" bestFit="1" customWidth="1"/>
    <col min="6" max="6" width="7.7109375" style="124" customWidth="1"/>
    <col min="7" max="7" width="8.7109375" style="124" customWidth="1"/>
    <col min="8" max="8" width="2.7109375" style="124" customWidth="1"/>
    <col min="9" max="9" width="10.5703125" style="124" bestFit="1" customWidth="1"/>
    <col min="10" max="10" width="7.7109375" style="124" customWidth="1"/>
    <col min="11" max="11" width="8.7109375" style="124" customWidth="1"/>
    <col min="12" max="12" width="2.7109375" style="124" customWidth="1"/>
    <col min="13" max="13" width="5.7109375" style="124" customWidth="1"/>
    <col min="14" max="14" width="7.5703125" style="124" customWidth="1"/>
    <col min="15" max="15" width="5.5703125" style="124" customWidth="1"/>
    <col min="16" max="16" width="8.7109375" style="124" customWidth="1"/>
    <col min="17" max="17" width="2.7109375" style="124" customWidth="1"/>
    <col min="18" max="18" width="22.28515625" style="124" customWidth="1"/>
    <col min="19" max="19" width="25.28515625" style="124" customWidth="1"/>
    <col min="20" max="20" width="31.28515625" style="167" customWidth="1"/>
    <col min="21" max="24" width="9.140625" style="167"/>
    <col min="25" max="27" width="9.140625" style="168"/>
    <col min="28" max="16384" width="9.140625" style="124"/>
  </cols>
  <sheetData>
    <row r="1" spans="1:27" ht="20.100000000000001" customHeight="1">
      <c r="A1" s="425" t="s">
        <v>249</v>
      </c>
      <c r="B1" s="425"/>
      <c r="C1" s="426" t="s">
        <v>250</v>
      </c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121"/>
      <c r="T1" s="122"/>
      <c r="U1" s="122"/>
      <c r="V1" s="122"/>
      <c r="W1" s="122"/>
      <c r="X1" s="122"/>
      <c r="Y1" s="123"/>
      <c r="Z1" s="123"/>
      <c r="AA1" s="123"/>
    </row>
    <row r="2" spans="1:27" s="128" customFormat="1" ht="30" customHeight="1">
      <c r="A2" s="425"/>
      <c r="B2" s="425"/>
      <c r="C2" s="426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  <c r="P2" s="427"/>
      <c r="Q2" s="427"/>
      <c r="R2" s="427"/>
      <c r="S2" s="125"/>
      <c r="T2" s="126"/>
      <c r="U2" s="126"/>
      <c r="V2" s="126"/>
      <c r="W2" s="126"/>
      <c r="X2" s="126"/>
      <c r="Y2" s="127"/>
      <c r="Z2" s="127"/>
      <c r="AA2" s="127"/>
    </row>
    <row r="3" spans="1:27" ht="20.100000000000001" customHeight="1">
      <c r="A3" s="425"/>
      <c r="B3" s="425"/>
      <c r="C3" s="121"/>
      <c r="D3" s="121"/>
      <c r="E3" s="121"/>
      <c r="F3" s="121"/>
      <c r="G3" s="129"/>
      <c r="H3" s="129"/>
      <c r="I3" s="129"/>
      <c r="J3" s="129"/>
      <c r="K3" s="129"/>
      <c r="L3" s="129"/>
      <c r="M3" s="129"/>
      <c r="N3" s="121"/>
      <c r="O3" s="121"/>
      <c r="P3" s="121"/>
      <c r="Q3" s="121"/>
      <c r="R3" s="130"/>
      <c r="S3" s="121"/>
      <c r="T3" s="122"/>
      <c r="U3" s="122"/>
      <c r="V3" s="122"/>
      <c r="W3" s="122"/>
      <c r="X3" s="122"/>
      <c r="Y3" s="123"/>
      <c r="Z3" s="123"/>
      <c r="AA3" s="123"/>
    </row>
    <row r="4" spans="1:27" ht="20.100000000000001" customHeight="1">
      <c r="A4" s="425"/>
      <c r="B4" s="425"/>
      <c r="C4" s="121"/>
      <c r="D4" s="121"/>
      <c r="E4" s="121"/>
      <c r="F4" s="121"/>
      <c r="G4" s="129"/>
      <c r="H4" s="129"/>
      <c r="I4" s="129"/>
      <c r="J4" s="129"/>
      <c r="K4" s="129"/>
      <c r="L4" s="129"/>
      <c r="M4" s="129"/>
      <c r="N4" s="121"/>
      <c r="O4" s="121"/>
      <c r="P4" s="121"/>
      <c r="Q4" s="121"/>
      <c r="R4" s="131"/>
      <c r="S4" s="121"/>
      <c r="T4" s="132"/>
      <c r="U4" s="122"/>
      <c r="V4" s="122"/>
      <c r="W4" s="122"/>
      <c r="X4" s="122"/>
      <c r="Y4" s="123"/>
      <c r="Z4" s="123"/>
      <c r="AA4" s="123"/>
    </row>
    <row r="5" spans="1:27" ht="9.9499999999999993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428"/>
      <c r="P5" s="428"/>
      <c r="Q5" s="428"/>
      <c r="R5" s="428"/>
      <c r="S5" s="121"/>
      <c r="T5" s="132"/>
      <c r="U5" s="122"/>
      <c r="V5" s="122"/>
      <c r="W5" s="122"/>
      <c r="X5" s="122"/>
      <c r="Y5" s="123"/>
      <c r="Z5" s="123"/>
      <c r="AA5" s="123"/>
    </row>
    <row r="6" spans="1:27" ht="24.95" customHeight="1">
      <c r="A6" s="372" t="s">
        <v>251</v>
      </c>
      <c r="B6" s="372"/>
      <c r="C6" s="429" t="s">
        <v>274</v>
      </c>
      <c r="D6" s="429"/>
      <c r="E6" s="429"/>
      <c r="F6" s="429"/>
      <c r="G6" s="429"/>
      <c r="H6" s="429"/>
      <c r="I6" s="429"/>
      <c r="J6" s="133"/>
      <c r="K6" s="133"/>
      <c r="L6" s="430" t="s">
        <v>252</v>
      </c>
      <c r="M6" s="430"/>
      <c r="N6" s="430"/>
      <c r="O6" s="430"/>
      <c r="P6" s="430"/>
      <c r="Q6" s="134"/>
      <c r="R6" s="135" t="s">
        <v>253</v>
      </c>
      <c r="S6" s="136"/>
      <c r="T6" s="137"/>
      <c r="U6" s="122"/>
      <c r="V6" s="122"/>
      <c r="W6" s="122"/>
      <c r="X6" s="122"/>
      <c r="Y6" s="123"/>
      <c r="Z6" s="123"/>
      <c r="AA6" s="123"/>
    </row>
    <row r="7" spans="1:27" ht="30" customHeight="1">
      <c r="A7" s="372" t="s">
        <v>254</v>
      </c>
      <c r="B7" s="372"/>
      <c r="C7" s="429" t="s">
        <v>273</v>
      </c>
      <c r="D7" s="431"/>
      <c r="E7" s="431"/>
      <c r="F7" s="431"/>
      <c r="G7" s="431"/>
      <c r="H7" s="431"/>
      <c r="I7" s="431"/>
      <c r="J7" s="138"/>
      <c r="K7" s="138"/>
      <c r="L7" s="432" t="s">
        <v>275</v>
      </c>
      <c r="M7" s="433"/>
      <c r="N7" s="433"/>
      <c r="O7" s="433"/>
      <c r="P7" s="433"/>
      <c r="Q7" s="139"/>
      <c r="R7" s="192" t="s">
        <v>276</v>
      </c>
      <c r="S7" s="140"/>
      <c r="T7" s="141"/>
      <c r="U7" s="122"/>
      <c r="V7" s="122"/>
      <c r="W7" s="122"/>
      <c r="X7" s="122"/>
      <c r="Y7" s="123"/>
      <c r="Z7" s="123"/>
      <c r="AA7" s="123"/>
    </row>
    <row r="8" spans="1:27" ht="24.95" customHeight="1">
      <c r="A8" s="372" t="s">
        <v>255</v>
      </c>
      <c r="B8" s="372"/>
      <c r="C8" s="403" t="s">
        <v>280</v>
      </c>
      <c r="D8" s="403"/>
      <c r="E8" s="403"/>
      <c r="F8" s="403"/>
      <c r="G8" s="403"/>
      <c r="H8" s="403"/>
      <c r="I8" s="403"/>
      <c r="J8" s="138"/>
      <c r="K8" s="404" t="s">
        <v>173</v>
      </c>
      <c r="L8" s="405" t="s">
        <v>256</v>
      </c>
      <c r="M8" s="406"/>
      <c r="N8" s="407" t="s">
        <v>257</v>
      </c>
      <c r="O8" s="407"/>
      <c r="P8" s="407"/>
      <c r="Q8" s="407"/>
      <c r="R8" s="408"/>
      <c r="S8" s="130"/>
      <c r="T8" s="137"/>
      <c r="U8" s="122"/>
      <c r="V8" s="122"/>
      <c r="W8" s="122"/>
      <c r="X8" s="122"/>
      <c r="Y8" s="123"/>
      <c r="Z8" s="123"/>
      <c r="AA8" s="123"/>
    </row>
    <row r="9" spans="1:27" ht="24.95" customHeight="1">
      <c r="A9" s="372" t="s">
        <v>258</v>
      </c>
      <c r="B9" s="372"/>
      <c r="C9" s="409" t="s">
        <v>525</v>
      </c>
      <c r="D9" s="409"/>
      <c r="E9" s="409"/>
      <c r="F9" s="409"/>
      <c r="G9" s="409"/>
      <c r="H9" s="409"/>
      <c r="I9" s="409"/>
      <c r="J9" s="138"/>
      <c r="K9" s="404"/>
      <c r="L9" s="405" t="s">
        <v>259</v>
      </c>
      <c r="M9" s="406"/>
      <c r="N9" s="414" t="str">
        <f>IFERROR((CONCATENATE(F13+J13+O13," dias a partir da data de assinatura do convênio")),"Cálculo automático")</f>
        <v>810 dias a partir da data de assinatura do convênio</v>
      </c>
      <c r="O9" s="414"/>
      <c r="P9" s="414"/>
      <c r="Q9" s="414"/>
      <c r="R9" s="415"/>
      <c r="S9" s="130"/>
      <c r="T9" s="137"/>
      <c r="U9" s="122"/>
      <c r="V9" s="122"/>
      <c r="W9" s="122"/>
      <c r="X9" s="122"/>
      <c r="Y9" s="123"/>
      <c r="Z9" s="123"/>
      <c r="AA9" s="123"/>
    </row>
    <row r="10" spans="1:27">
      <c r="A10" s="121"/>
      <c r="B10" s="142"/>
      <c r="C10" s="142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32"/>
      <c r="U10" s="122"/>
      <c r="V10" s="122"/>
      <c r="W10" s="122"/>
      <c r="X10" s="122"/>
      <c r="Y10" s="123"/>
      <c r="Z10" s="123"/>
      <c r="AA10" s="123"/>
    </row>
    <row r="11" spans="1:27">
      <c r="A11" s="395" t="s">
        <v>174</v>
      </c>
      <c r="B11" s="397" t="s">
        <v>116</v>
      </c>
      <c r="C11" s="398"/>
      <c r="D11" s="395" t="s">
        <v>175</v>
      </c>
      <c r="E11" s="416" t="s">
        <v>260</v>
      </c>
      <c r="F11" s="416"/>
      <c r="G11" s="416"/>
      <c r="H11" s="416"/>
      <c r="I11" s="416" t="s">
        <v>261</v>
      </c>
      <c r="J11" s="416"/>
      <c r="K11" s="416"/>
      <c r="L11" s="416"/>
      <c r="M11" s="417" t="s">
        <v>262</v>
      </c>
      <c r="N11" s="417"/>
      <c r="O11" s="417"/>
      <c r="P11" s="417"/>
      <c r="Q11" s="418"/>
      <c r="R11" s="419" t="s">
        <v>115</v>
      </c>
      <c r="S11" s="121"/>
      <c r="T11" s="143"/>
      <c r="U11" s="122"/>
      <c r="V11" s="122"/>
      <c r="W11" s="122"/>
      <c r="X11" s="122"/>
      <c r="Y11" s="123"/>
      <c r="Z11" s="123"/>
      <c r="AA11" s="123"/>
    </row>
    <row r="12" spans="1:27" ht="5.45" customHeight="1">
      <c r="A12" s="396"/>
      <c r="B12" s="399"/>
      <c r="C12" s="400"/>
      <c r="D12" s="396"/>
      <c r="E12" s="144"/>
      <c r="F12" s="145"/>
      <c r="G12" s="145"/>
      <c r="H12" s="145"/>
      <c r="I12" s="144"/>
      <c r="J12" s="145"/>
      <c r="K12" s="145"/>
      <c r="L12" s="145"/>
      <c r="M12" s="421"/>
      <c r="N12" s="421"/>
      <c r="O12" s="421"/>
      <c r="P12" s="421"/>
      <c r="Q12" s="422"/>
      <c r="R12" s="420"/>
      <c r="S12" s="121"/>
      <c r="T12" s="122"/>
      <c r="U12" s="122"/>
      <c r="V12" s="122"/>
      <c r="W12" s="122"/>
      <c r="X12" s="122"/>
      <c r="Y12" s="123"/>
      <c r="Z12" s="123"/>
      <c r="AA12" s="123"/>
    </row>
    <row r="13" spans="1:27" ht="23.25" customHeight="1">
      <c r="A13" s="396"/>
      <c r="B13" s="399"/>
      <c r="C13" s="400"/>
      <c r="D13" s="396"/>
      <c r="E13" s="146" t="s">
        <v>263</v>
      </c>
      <c r="F13" s="147">
        <f>IF(G15="XXX","",SUM(G14:G16))</f>
        <v>330</v>
      </c>
      <c r="G13" s="148" t="s">
        <v>264</v>
      </c>
      <c r="H13" s="149"/>
      <c r="I13" s="146" t="s">
        <v>263</v>
      </c>
      <c r="J13" s="147">
        <f>IF(K15="XXX","",SUM(K14:K16))</f>
        <v>150</v>
      </c>
      <c r="K13" s="148" t="s">
        <v>264</v>
      </c>
      <c r="L13" s="149"/>
      <c r="M13" s="410" t="s">
        <v>263</v>
      </c>
      <c r="N13" s="411"/>
      <c r="O13" s="147">
        <f>IF(P14="XXX","",SUM(P14:P16))</f>
        <v>330</v>
      </c>
      <c r="P13" s="412" t="s">
        <v>264</v>
      </c>
      <c r="Q13" s="413"/>
      <c r="R13" s="420"/>
      <c r="S13" s="121"/>
      <c r="T13" s="122"/>
      <c r="U13" s="122"/>
      <c r="V13" s="122"/>
      <c r="W13" s="122"/>
      <c r="X13" s="122"/>
      <c r="Y13" s="123"/>
      <c r="Z13" s="123"/>
      <c r="AA13" s="123"/>
    </row>
    <row r="14" spans="1:27" ht="20.100000000000001" customHeight="1">
      <c r="A14" s="396"/>
      <c r="B14" s="399"/>
      <c r="C14" s="400"/>
      <c r="D14" s="396"/>
      <c r="E14" s="401" t="s">
        <v>265</v>
      </c>
      <c r="F14" s="402"/>
      <c r="G14" s="150">
        <v>180</v>
      </c>
      <c r="H14" s="151"/>
      <c r="I14" s="401"/>
      <c r="J14" s="402"/>
      <c r="K14" s="150"/>
      <c r="L14" s="151"/>
      <c r="M14" s="401" t="s">
        <v>266</v>
      </c>
      <c r="N14" s="402"/>
      <c r="O14" s="152"/>
      <c r="P14" s="153">
        <v>120</v>
      </c>
      <c r="Q14" s="154"/>
      <c r="R14" s="420"/>
      <c r="S14" s="121"/>
      <c r="T14" s="155"/>
      <c r="U14" s="122"/>
      <c r="V14" s="122"/>
      <c r="W14" s="122"/>
      <c r="X14" s="122"/>
      <c r="Y14" s="123"/>
      <c r="Z14" s="123"/>
      <c r="AA14" s="123"/>
    </row>
    <row r="15" spans="1:27" ht="20.100000000000001" customHeight="1">
      <c r="A15" s="396"/>
      <c r="B15" s="399"/>
      <c r="C15" s="400"/>
      <c r="D15" s="396"/>
      <c r="E15" s="401" t="s">
        <v>266</v>
      </c>
      <c r="F15" s="402"/>
      <c r="G15" s="153">
        <v>120</v>
      </c>
      <c r="H15" s="156"/>
      <c r="I15" s="401" t="s">
        <v>266</v>
      </c>
      <c r="J15" s="402"/>
      <c r="K15" s="153">
        <v>120</v>
      </c>
      <c r="L15" s="156"/>
      <c r="M15" s="401" t="s">
        <v>267</v>
      </c>
      <c r="N15" s="402"/>
      <c r="O15" s="402"/>
      <c r="P15" s="150">
        <v>30</v>
      </c>
      <c r="Q15" s="157"/>
      <c r="R15" s="420"/>
      <c r="S15" s="121"/>
      <c r="T15" s="155"/>
      <c r="U15" s="122"/>
      <c r="V15" s="122"/>
      <c r="W15" s="122"/>
      <c r="X15" s="122"/>
      <c r="Y15" s="123"/>
      <c r="Z15" s="123"/>
      <c r="AA15" s="123"/>
    </row>
    <row r="16" spans="1:27" ht="20.100000000000001" customHeight="1">
      <c r="A16" s="396"/>
      <c r="B16" s="399"/>
      <c r="C16" s="400"/>
      <c r="D16" s="396"/>
      <c r="E16" s="423" t="s">
        <v>267</v>
      </c>
      <c r="F16" s="424"/>
      <c r="G16" s="158">
        <v>30</v>
      </c>
      <c r="H16" s="159"/>
      <c r="I16" s="423" t="s">
        <v>267</v>
      </c>
      <c r="J16" s="424"/>
      <c r="K16" s="158">
        <v>30</v>
      </c>
      <c r="L16" s="159"/>
      <c r="M16" s="423" t="s">
        <v>268</v>
      </c>
      <c r="N16" s="424"/>
      <c r="O16" s="424"/>
      <c r="P16" s="158">
        <v>180</v>
      </c>
      <c r="Q16" s="159"/>
      <c r="R16" s="420"/>
      <c r="S16" s="121"/>
      <c r="T16" s="155"/>
      <c r="U16" s="122"/>
      <c r="V16" s="122"/>
      <c r="W16" s="122"/>
      <c r="X16" s="122"/>
      <c r="Y16" s="123"/>
      <c r="Z16" s="123"/>
      <c r="AA16" s="123"/>
    </row>
    <row r="17" spans="1:27" ht="24.95" customHeight="1">
      <c r="A17" s="384">
        <v>1</v>
      </c>
      <c r="B17" s="386" t="s">
        <v>171</v>
      </c>
      <c r="C17" s="387"/>
      <c r="D17" s="160" t="s">
        <v>176</v>
      </c>
      <c r="E17" s="161"/>
      <c r="F17" s="390">
        <f>IFERROR($E18/R18,0)</f>
        <v>0.3</v>
      </c>
      <c r="G17" s="390"/>
      <c r="H17" s="391"/>
      <c r="I17" s="161"/>
      <c r="J17" s="390">
        <f>IFERROR($I18/R18,0)</f>
        <v>0.35000003561296689</v>
      </c>
      <c r="K17" s="390"/>
      <c r="L17" s="391"/>
      <c r="M17" s="162"/>
      <c r="N17" s="163"/>
      <c r="O17" s="392">
        <f>IFERROR($M18/R18,0)</f>
        <v>0.34999996438703324</v>
      </c>
      <c r="P17" s="392"/>
      <c r="Q17" s="393"/>
      <c r="R17" s="164">
        <f>O17+J17+F17</f>
        <v>1.0000000000000002</v>
      </c>
    </row>
    <row r="18" spans="1:27" ht="24.95" customHeight="1">
      <c r="A18" s="385"/>
      <c r="B18" s="388"/>
      <c r="C18" s="389"/>
      <c r="D18" s="165" t="s">
        <v>177</v>
      </c>
      <c r="E18" s="373">
        <v>42119.49</v>
      </c>
      <c r="F18" s="374"/>
      <c r="G18" s="374"/>
      <c r="H18" s="374"/>
      <c r="I18" s="373">
        <v>49139.41</v>
      </c>
      <c r="J18" s="374"/>
      <c r="K18" s="374"/>
      <c r="L18" s="374"/>
      <c r="M18" s="373">
        <v>49139.4</v>
      </c>
      <c r="N18" s="374"/>
      <c r="O18" s="374"/>
      <c r="P18" s="374"/>
      <c r="Q18" s="394"/>
      <c r="R18" s="166">
        <f>IFERROR(E18+I18+M18,0)</f>
        <v>140398.29999999999</v>
      </c>
    </row>
    <row r="19" spans="1:27" ht="24.95" customHeight="1">
      <c r="A19" s="384">
        <v>2</v>
      </c>
      <c r="B19" s="386" t="s">
        <v>277</v>
      </c>
      <c r="C19" s="387"/>
      <c r="D19" s="160" t="s">
        <v>176</v>
      </c>
      <c r="E19" s="161"/>
      <c r="F19" s="390">
        <f>IFERROR($E20/R20,0)</f>
        <v>0.29999999808292016</v>
      </c>
      <c r="G19" s="390"/>
      <c r="H19" s="391"/>
      <c r="I19" s="161"/>
      <c r="J19" s="390">
        <f>IFERROR($I20/R20,0)</f>
        <v>0.34999999137314053</v>
      </c>
      <c r="K19" s="390"/>
      <c r="L19" s="391"/>
      <c r="M19" s="162"/>
      <c r="N19" s="163"/>
      <c r="O19" s="392">
        <f>IFERROR($M20/R20,0)</f>
        <v>0.35000001054393942</v>
      </c>
      <c r="P19" s="392"/>
      <c r="Q19" s="393"/>
      <c r="R19" s="164">
        <f>O19+J19+F19</f>
        <v>1.0000000000000002</v>
      </c>
      <c r="S19" s="211"/>
    </row>
    <row r="20" spans="1:27" ht="24.95" customHeight="1">
      <c r="A20" s="385"/>
      <c r="B20" s="388"/>
      <c r="C20" s="389"/>
      <c r="D20" s="165" t="s">
        <v>177</v>
      </c>
      <c r="E20" s="373">
        <v>156488</v>
      </c>
      <c r="F20" s="374"/>
      <c r="G20" s="374"/>
      <c r="H20" s="374"/>
      <c r="I20" s="373">
        <v>182569.33</v>
      </c>
      <c r="J20" s="374"/>
      <c r="K20" s="374"/>
      <c r="L20" s="374"/>
      <c r="M20" s="373">
        <v>182569.34</v>
      </c>
      <c r="N20" s="374"/>
      <c r="O20" s="374"/>
      <c r="P20" s="374"/>
      <c r="Q20" s="394"/>
      <c r="R20" s="166">
        <f>IFERROR(E20+I20+M20,0)</f>
        <v>521626.66999999993</v>
      </c>
      <c r="S20" s="211"/>
      <c r="T20" s="246"/>
    </row>
    <row r="21" spans="1:27" ht="24.95" customHeight="1">
      <c r="A21" s="384">
        <v>3</v>
      </c>
      <c r="B21" s="386" t="s">
        <v>127</v>
      </c>
      <c r="C21" s="387"/>
      <c r="D21" s="160" t="s">
        <v>176</v>
      </c>
      <c r="E21" s="161"/>
      <c r="F21" s="390">
        <f>IFERROR($E22/R22,0)</f>
        <v>0.3</v>
      </c>
      <c r="G21" s="390"/>
      <c r="H21" s="391"/>
      <c r="I21" s="161"/>
      <c r="J21" s="390">
        <f>IFERROR($I22/R22,0)</f>
        <v>0.34999996249087589</v>
      </c>
      <c r="K21" s="390"/>
      <c r="L21" s="391"/>
      <c r="M21" s="162"/>
      <c r="N21" s="163"/>
      <c r="O21" s="392">
        <f>IFERROR($M22/R22,0)</f>
        <v>0.35000003750912412</v>
      </c>
      <c r="P21" s="392"/>
      <c r="Q21" s="393"/>
      <c r="R21" s="164">
        <f>O21+J21+F21</f>
        <v>1</v>
      </c>
    </row>
    <row r="22" spans="1:27" ht="24.95" customHeight="1">
      <c r="A22" s="385"/>
      <c r="B22" s="388"/>
      <c r="C22" s="389"/>
      <c r="D22" s="165" t="s">
        <v>177</v>
      </c>
      <c r="E22" s="373">
        <v>39990.269999999997</v>
      </c>
      <c r="F22" s="374"/>
      <c r="G22" s="374"/>
      <c r="H22" s="374"/>
      <c r="I22" s="373">
        <v>46655.31</v>
      </c>
      <c r="J22" s="374"/>
      <c r="K22" s="374"/>
      <c r="L22" s="374"/>
      <c r="M22" s="373">
        <v>46655.32</v>
      </c>
      <c r="N22" s="374"/>
      <c r="O22" s="374"/>
      <c r="P22" s="374"/>
      <c r="Q22" s="394"/>
      <c r="R22" s="166">
        <f>IFERROR(E22+I22+M22,0)</f>
        <v>133300.9</v>
      </c>
    </row>
    <row r="23" spans="1:27" ht="24.95" customHeight="1">
      <c r="A23" s="384">
        <v>4</v>
      </c>
      <c r="B23" s="386" t="s">
        <v>278</v>
      </c>
      <c r="C23" s="387"/>
      <c r="D23" s="160" t="s">
        <v>176</v>
      </c>
      <c r="E23" s="161"/>
      <c r="F23" s="390">
        <f>IFERROR($E24/R24,0)</f>
        <v>0.30000022493493755</v>
      </c>
      <c r="G23" s="390"/>
      <c r="H23" s="391"/>
      <c r="I23" s="161"/>
      <c r="J23" s="390">
        <f>IFERROR($I24/R24,0)</f>
        <v>0.34999951264096862</v>
      </c>
      <c r="K23" s="390"/>
      <c r="L23" s="391"/>
      <c r="M23" s="162"/>
      <c r="N23" s="163"/>
      <c r="O23" s="392">
        <f>IFERROR($M24/R24,0)</f>
        <v>0.35000026242409388</v>
      </c>
      <c r="P23" s="392"/>
      <c r="Q23" s="393"/>
      <c r="R23" s="164">
        <f>O23+J23+F23</f>
        <v>1</v>
      </c>
      <c r="S23" s="211"/>
    </row>
    <row r="24" spans="1:27" ht="24.95" customHeight="1">
      <c r="A24" s="385"/>
      <c r="B24" s="388"/>
      <c r="C24" s="389"/>
      <c r="D24" s="165" t="s">
        <v>177</v>
      </c>
      <c r="E24" s="373">
        <v>4001.16</v>
      </c>
      <c r="F24" s="374"/>
      <c r="G24" s="374"/>
      <c r="H24" s="374"/>
      <c r="I24" s="373">
        <v>4668.01</v>
      </c>
      <c r="J24" s="374"/>
      <c r="K24" s="374"/>
      <c r="L24" s="374"/>
      <c r="M24" s="373">
        <v>4668.0200000000004</v>
      </c>
      <c r="N24" s="374"/>
      <c r="O24" s="374"/>
      <c r="P24" s="374"/>
      <c r="Q24" s="394"/>
      <c r="R24" s="166">
        <f>IFERROR(E24+I24+M24,0)</f>
        <v>13337.19</v>
      </c>
    </row>
    <row r="25" spans="1:27" ht="24.95" customHeight="1">
      <c r="A25" s="384">
        <v>5</v>
      </c>
      <c r="B25" s="386" t="s">
        <v>129</v>
      </c>
      <c r="C25" s="387"/>
      <c r="D25" s="160" t="s">
        <v>176</v>
      </c>
      <c r="E25" s="161"/>
      <c r="F25" s="390">
        <f>IFERROR($E26/R26,0)</f>
        <v>0.30000004840357741</v>
      </c>
      <c r="G25" s="390"/>
      <c r="H25" s="391"/>
      <c r="I25" s="210" t="s">
        <v>299</v>
      </c>
      <c r="J25" s="390">
        <f>IFERROR($I26/R26,0)</f>
        <v>0.34999997579821129</v>
      </c>
      <c r="K25" s="390"/>
      <c r="L25" s="391"/>
      <c r="M25" s="162"/>
      <c r="N25" s="163"/>
      <c r="O25" s="392">
        <f>IFERROR($M26/R26,0)</f>
        <v>0.34999997579821129</v>
      </c>
      <c r="P25" s="392"/>
      <c r="Q25" s="393"/>
      <c r="R25" s="164">
        <f>O25+J25+F25</f>
        <v>1</v>
      </c>
    </row>
    <row r="26" spans="1:27" ht="24.95" customHeight="1">
      <c r="A26" s="385"/>
      <c r="B26" s="388"/>
      <c r="C26" s="389"/>
      <c r="D26" s="165" t="s">
        <v>177</v>
      </c>
      <c r="E26" s="373">
        <v>30989.45</v>
      </c>
      <c r="F26" s="374"/>
      <c r="G26" s="374"/>
      <c r="H26" s="374"/>
      <c r="I26" s="373">
        <v>36154.35</v>
      </c>
      <c r="J26" s="374"/>
      <c r="K26" s="374"/>
      <c r="L26" s="374"/>
      <c r="M26" s="373">
        <v>36154.35</v>
      </c>
      <c r="N26" s="374"/>
      <c r="O26" s="374"/>
      <c r="P26" s="374"/>
      <c r="Q26" s="394"/>
      <c r="R26" s="166">
        <f>IFERROR(E26+I26+M26,0)</f>
        <v>103298.15</v>
      </c>
    </row>
    <row r="27" spans="1:27" ht="24.95" customHeight="1">
      <c r="A27" s="384">
        <v>6</v>
      </c>
      <c r="B27" s="386" t="s">
        <v>123</v>
      </c>
      <c r="C27" s="387"/>
      <c r="D27" s="160" t="s">
        <v>176</v>
      </c>
      <c r="E27" s="161"/>
      <c r="F27" s="390">
        <f>IFERROR($E28/R28,0)</f>
        <v>0.29999998239703762</v>
      </c>
      <c r="G27" s="390"/>
      <c r="H27" s="391"/>
      <c r="I27" s="161"/>
      <c r="J27" s="390">
        <f>IFERROR($I28/R28,0)</f>
        <v>0.35000005280888713</v>
      </c>
      <c r="K27" s="390"/>
      <c r="L27" s="391"/>
      <c r="M27" s="162"/>
      <c r="N27" s="163"/>
      <c r="O27" s="392">
        <f>IFERROR($M28/R28,0)</f>
        <v>0.3499999647940753</v>
      </c>
      <c r="P27" s="392"/>
      <c r="Q27" s="393"/>
      <c r="R27" s="164">
        <f>O27+J27+F27</f>
        <v>1</v>
      </c>
      <c r="S27" s="211"/>
    </row>
    <row r="28" spans="1:27" ht="24.95" customHeight="1">
      <c r="A28" s="385"/>
      <c r="B28" s="388"/>
      <c r="C28" s="389"/>
      <c r="D28" s="165" t="s">
        <v>177</v>
      </c>
      <c r="E28" s="373">
        <v>34085.17</v>
      </c>
      <c r="F28" s="374"/>
      <c r="G28" s="374"/>
      <c r="H28" s="374"/>
      <c r="I28" s="373">
        <v>39766.04</v>
      </c>
      <c r="J28" s="374"/>
      <c r="K28" s="374"/>
      <c r="L28" s="374"/>
      <c r="M28" s="373">
        <v>39766.03</v>
      </c>
      <c r="N28" s="374"/>
      <c r="O28" s="374"/>
      <c r="P28" s="374"/>
      <c r="Q28" s="394"/>
      <c r="R28" s="166">
        <f>IFERROR(E28+I28+M28,0)</f>
        <v>113617.23999999999</v>
      </c>
    </row>
    <row r="29" spans="1:27">
      <c r="A29" s="381"/>
      <c r="B29" s="382"/>
      <c r="C29" s="382"/>
      <c r="D29" s="383"/>
      <c r="E29" s="381"/>
      <c r="F29" s="382"/>
      <c r="G29" s="382"/>
      <c r="H29" s="382"/>
      <c r="I29" s="381"/>
      <c r="J29" s="382"/>
      <c r="K29" s="382"/>
      <c r="L29" s="382"/>
      <c r="M29" s="382"/>
      <c r="N29" s="382"/>
      <c r="O29" s="382"/>
      <c r="P29" s="382"/>
      <c r="Q29" s="383"/>
      <c r="R29" s="169"/>
      <c r="S29" s="245"/>
      <c r="U29" s="170"/>
      <c r="V29" s="170"/>
      <c r="W29" s="170"/>
      <c r="X29" s="170"/>
      <c r="Y29" s="171"/>
      <c r="Z29" s="123"/>
      <c r="AA29" s="123"/>
    </row>
    <row r="30" spans="1:27" ht="30" customHeight="1">
      <c r="A30" s="372" t="s">
        <v>269</v>
      </c>
      <c r="B30" s="372"/>
      <c r="C30" s="372"/>
      <c r="D30" s="372"/>
      <c r="E30" s="378">
        <f>IFERROR(E32-E31,"")</f>
        <v>303758.81</v>
      </c>
      <c r="F30" s="379"/>
      <c r="G30" s="379"/>
      <c r="H30" s="379"/>
      <c r="I30" s="378">
        <f>IFERROR(I32-I31,"")</f>
        <v>354385.26999999996</v>
      </c>
      <c r="J30" s="379"/>
      <c r="K30" s="379"/>
      <c r="L30" s="379"/>
      <c r="M30" s="378">
        <f>IFERROR(M32-M31,"")</f>
        <v>354385.26999999996</v>
      </c>
      <c r="N30" s="379"/>
      <c r="O30" s="379"/>
      <c r="P30" s="379"/>
      <c r="Q30" s="380"/>
      <c r="R30" s="172">
        <f>IFERROR(E30+I30+M30,"")</f>
        <v>1012529.3499999999</v>
      </c>
      <c r="S30" s="245"/>
      <c r="U30" s="170"/>
      <c r="V30" s="170"/>
      <c r="W30" s="170"/>
      <c r="X30" s="170"/>
      <c r="Y30" s="171"/>
      <c r="Z30" s="123"/>
      <c r="AA30" s="123"/>
    </row>
    <row r="31" spans="1:27" ht="30" customHeight="1">
      <c r="A31" s="372" t="s">
        <v>270</v>
      </c>
      <c r="B31" s="372"/>
      <c r="C31" s="372"/>
      <c r="D31" s="372"/>
      <c r="E31" s="373">
        <v>3914.73</v>
      </c>
      <c r="F31" s="374"/>
      <c r="G31" s="374"/>
      <c r="H31" s="374"/>
      <c r="I31" s="373">
        <v>4567.18</v>
      </c>
      <c r="J31" s="374"/>
      <c r="K31" s="374"/>
      <c r="L31" s="374"/>
      <c r="M31" s="375">
        <v>4567.1899999999996</v>
      </c>
      <c r="N31" s="376"/>
      <c r="O31" s="376"/>
      <c r="P31" s="376"/>
      <c r="Q31" s="377"/>
      <c r="R31" s="172">
        <f>IFERROR(E31+I31+M31,"")</f>
        <v>13049.099999999999</v>
      </c>
      <c r="S31" s="245"/>
      <c r="U31" s="122"/>
      <c r="V31" s="170"/>
      <c r="W31" s="170"/>
      <c r="X31" s="170"/>
      <c r="Y31" s="171"/>
      <c r="Z31" s="123"/>
      <c r="AA31" s="123"/>
    </row>
    <row r="32" spans="1:27" ht="35.1" customHeight="1">
      <c r="A32" s="372" t="s">
        <v>271</v>
      </c>
      <c r="B32" s="372"/>
      <c r="C32" s="372"/>
      <c r="D32" s="372"/>
      <c r="E32" s="378">
        <f>SUMIF(E17:E28,"&gt;0")</f>
        <v>307673.53999999998</v>
      </c>
      <c r="F32" s="379"/>
      <c r="G32" s="379"/>
      <c r="H32" s="379"/>
      <c r="I32" s="378">
        <f>SUMIF(I17:I28,"&gt;0")</f>
        <v>358952.44999999995</v>
      </c>
      <c r="J32" s="379"/>
      <c r="K32" s="379"/>
      <c r="L32" s="379"/>
      <c r="M32" s="378">
        <f>SUMIF(M17:M28,"&gt;0")</f>
        <v>358952.45999999996</v>
      </c>
      <c r="N32" s="379"/>
      <c r="O32" s="379"/>
      <c r="P32" s="379"/>
      <c r="Q32" s="380"/>
      <c r="R32" s="173">
        <f>IFERROR(E32+I32+M32,"")</f>
        <v>1025578.45</v>
      </c>
      <c r="S32" s="245"/>
      <c r="U32" s="174"/>
      <c r="V32" s="122"/>
      <c r="W32" s="122"/>
      <c r="X32" s="122"/>
      <c r="Y32" s="123"/>
      <c r="Z32" s="123"/>
      <c r="AA32" s="123"/>
    </row>
    <row r="33" spans="1:27" ht="35.1" customHeight="1">
      <c r="A33" s="365" t="s">
        <v>272</v>
      </c>
      <c r="B33" s="365"/>
      <c r="C33" s="365"/>
      <c r="D33" s="365"/>
      <c r="E33" s="366">
        <f>IFERROR(E32/R32,"O percentual será calculado após lançamento dos valores dos itens/serviços")</f>
        <v>0.30000000487529743</v>
      </c>
      <c r="F33" s="367"/>
      <c r="G33" s="367"/>
      <c r="H33" s="367"/>
      <c r="I33" s="366">
        <f>IFERROR(I32/R32,"O percentual será calculado após lançamento dos valores dos itens/serviços")</f>
        <v>0.34999999268705378</v>
      </c>
      <c r="J33" s="367"/>
      <c r="K33" s="367"/>
      <c r="L33" s="367"/>
      <c r="M33" s="366">
        <f>IFERROR(M32/R32,"O percentual será calculado após lançamento dos valores dos itens/serviços")</f>
        <v>0.35000000243764873</v>
      </c>
      <c r="N33" s="367"/>
      <c r="O33" s="367"/>
      <c r="P33" s="367"/>
      <c r="Q33" s="368"/>
      <c r="R33" s="175">
        <f>IFERROR(M33+I33+E33,"")</f>
        <v>0.99999999999999989</v>
      </c>
      <c r="S33" s="121"/>
      <c r="U33" s="174"/>
      <c r="V33" s="122"/>
      <c r="W33" s="122"/>
      <c r="X33" s="122"/>
      <c r="Y33" s="123"/>
      <c r="Z33" s="123"/>
      <c r="AA33" s="123"/>
    </row>
    <row r="34" spans="1:27">
      <c r="A34" s="121"/>
      <c r="B34" s="121"/>
      <c r="C34" s="176"/>
      <c r="D34" s="176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21"/>
      <c r="T34" s="178"/>
      <c r="U34" s="174"/>
      <c r="V34" s="122"/>
      <c r="W34" s="122"/>
      <c r="X34" s="122"/>
      <c r="Y34" s="123"/>
      <c r="Z34" s="123"/>
      <c r="AA34" s="123"/>
    </row>
    <row r="35" spans="1:27" s="179" customFormat="1">
      <c r="A35" s="131"/>
      <c r="B35" s="131"/>
      <c r="C35" s="369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370"/>
      <c r="O35" s="370"/>
      <c r="P35" s="370"/>
      <c r="Q35" s="370"/>
      <c r="R35" s="370"/>
      <c r="S35" s="131"/>
      <c r="T35" s="178"/>
      <c r="U35" s="174"/>
      <c r="V35" s="122"/>
      <c r="W35" s="122"/>
      <c r="X35" s="122"/>
      <c r="Y35" s="122"/>
      <c r="Z35" s="122"/>
      <c r="AA35" s="122"/>
    </row>
    <row r="36" spans="1:27" s="179" customFormat="1">
      <c r="A36" s="180"/>
      <c r="B36" s="180"/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370"/>
      <c r="N36" s="370"/>
      <c r="O36" s="370"/>
      <c r="P36" s="370"/>
      <c r="Q36" s="370"/>
      <c r="R36" s="370"/>
      <c r="S36" s="131"/>
      <c r="T36" s="178"/>
      <c r="U36" s="174"/>
      <c r="V36" s="122"/>
      <c r="W36" s="122"/>
      <c r="X36" s="122"/>
      <c r="Y36" s="122"/>
      <c r="Z36" s="122"/>
      <c r="AA36" s="122"/>
    </row>
    <row r="37" spans="1:27" s="179" customFormat="1">
      <c r="A37" s="181"/>
      <c r="B37" s="181"/>
      <c r="C37" s="370"/>
      <c r="D37" s="370"/>
      <c r="E37" s="370"/>
      <c r="F37" s="370"/>
      <c r="G37" s="370"/>
      <c r="H37" s="370"/>
      <c r="I37" s="370"/>
      <c r="J37" s="370"/>
      <c r="K37" s="370"/>
      <c r="L37" s="370"/>
      <c r="M37" s="370"/>
      <c r="N37" s="370"/>
      <c r="O37" s="370"/>
      <c r="P37" s="370"/>
      <c r="Q37" s="370"/>
      <c r="R37" s="370"/>
      <c r="S37" s="131"/>
      <c r="T37" s="182"/>
      <c r="U37" s="174"/>
      <c r="V37" s="122"/>
      <c r="W37" s="122"/>
      <c r="X37" s="122"/>
      <c r="Y37" s="122"/>
      <c r="Z37" s="122"/>
      <c r="AA37" s="122"/>
    </row>
    <row r="38" spans="1:27" s="179" customFormat="1">
      <c r="A38" s="181"/>
      <c r="B38" s="181"/>
      <c r="C38" s="370"/>
      <c r="D38" s="370"/>
      <c r="E38" s="370"/>
      <c r="F38" s="370"/>
      <c r="G38" s="370"/>
      <c r="H38" s="370"/>
      <c r="I38" s="370"/>
      <c r="J38" s="370"/>
      <c r="K38" s="370"/>
      <c r="L38" s="370"/>
      <c r="M38" s="370"/>
      <c r="N38" s="370"/>
      <c r="O38" s="370"/>
      <c r="P38" s="370"/>
      <c r="Q38" s="370"/>
      <c r="R38" s="370"/>
      <c r="S38" s="131"/>
      <c r="T38" s="178"/>
      <c r="U38" s="183"/>
      <c r="V38" s="122"/>
      <c r="W38" s="122"/>
      <c r="X38" s="122"/>
      <c r="Y38" s="122"/>
      <c r="Z38" s="122"/>
      <c r="AA38" s="122"/>
    </row>
    <row r="39" spans="1:27" s="179" customFormat="1">
      <c r="A39" s="181"/>
      <c r="B39" s="181"/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0"/>
      <c r="O39" s="370"/>
      <c r="P39" s="370"/>
      <c r="Q39" s="370"/>
      <c r="R39" s="370"/>
      <c r="S39" s="131"/>
      <c r="T39" s="122"/>
      <c r="U39" s="122"/>
      <c r="V39" s="122"/>
      <c r="W39" s="122"/>
      <c r="X39" s="122"/>
      <c r="Y39" s="122"/>
      <c r="Z39" s="122"/>
      <c r="AA39" s="122"/>
    </row>
    <row r="40" spans="1:27" ht="30.75" customHeight="1">
      <c r="A40" s="181"/>
      <c r="B40" s="181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21"/>
      <c r="T40" s="178"/>
      <c r="U40" s="122"/>
      <c r="V40" s="122"/>
      <c r="W40" s="122"/>
      <c r="X40" s="122"/>
      <c r="Y40" s="123"/>
      <c r="Z40" s="123"/>
      <c r="AA40" s="123"/>
    </row>
    <row r="41" spans="1:27" ht="12" customHeight="1">
      <c r="A41" s="181"/>
      <c r="B41" s="181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21"/>
      <c r="T41" s="178"/>
      <c r="U41" s="122"/>
      <c r="V41" s="122"/>
      <c r="W41" s="122"/>
      <c r="X41" s="122"/>
      <c r="Y41" s="123"/>
      <c r="Z41" s="123"/>
      <c r="AA41" s="123"/>
    </row>
    <row r="42" spans="1:27" ht="13.5" customHeight="1">
      <c r="A42" s="181"/>
      <c r="B42" s="181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21"/>
      <c r="T42" s="178"/>
      <c r="U42" s="122"/>
      <c r="V42" s="122"/>
      <c r="W42" s="122"/>
      <c r="X42" s="122"/>
      <c r="Y42" s="123"/>
      <c r="Z42" s="123"/>
      <c r="AA42" s="123"/>
    </row>
    <row r="43" spans="1:27" ht="21" customHeight="1">
      <c r="A43" s="181"/>
      <c r="B43" s="181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21"/>
      <c r="T43" s="178"/>
      <c r="U43" s="122"/>
      <c r="V43" s="122"/>
      <c r="W43" s="122"/>
      <c r="X43" s="122"/>
      <c r="Y43" s="123"/>
      <c r="Z43" s="123"/>
      <c r="AA43" s="123"/>
    </row>
    <row r="44" spans="1:27" ht="46.5" customHeight="1" thickBot="1">
      <c r="A44" s="181"/>
      <c r="B44" s="181"/>
      <c r="C44" s="185"/>
      <c r="D44" s="185"/>
      <c r="E44" s="185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21"/>
      <c r="T44" s="178"/>
      <c r="U44" s="122"/>
      <c r="V44" s="122"/>
      <c r="W44" s="122"/>
      <c r="X44" s="122"/>
      <c r="Y44" s="123"/>
      <c r="Z44" s="123"/>
      <c r="AA44" s="123"/>
    </row>
    <row r="45" spans="1:27">
      <c r="A45" s="121"/>
      <c r="B45" s="121"/>
      <c r="C45" s="371" t="s">
        <v>178</v>
      </c>
      <c r="D45" s="371"/>
      <c r="E45" s="371"/>
      <c r="F45" s="186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2"/>
      <c r="U45" s="122"/>
      <c r="V45" s="122"/>
      <c r="W45" s="122"/>
      <c r="X45" s="122"/>
      <c r="Y45" s="123"/>
      <c r="Z45" s="123"/>
      <c r="AA45" s="123"/>
    </row>
    <row r="46" spans="1:27">
      <c r="A46" s="121"/>
      <c r="B46" s="121"/>
      <c r="C46" s="191" t="s">
        <v>279</v>
      </c>
      <c r="D46" s="362"/>
      <c r="E46" s="362"/>
      <c r="F46" s="187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78"/>
      <c r="U46" s="122"/>
      <c r="V46" s="122"/>
      <c r="W46" s="122"/>
      <c r="X46" s="122"/>
      <c r="Y46" s="123"/>
      <c r="Z46" s="123"/>
      <c r="AA46" s="123"/>
    </row>
    <row r="47" spans="1:27" s="168" customFormat="1">
      <c r="A47" s="124"/>
      <c r="B47" s="124"/>
      <c r="C47" s="191" t="s">
        <v>207</v>
      </c>
      <c r="D47" s="363"/>
      <c r="E47" s="363"/>
      <c r="F47" s="188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78"/>
      <c r="U47" s="122"/>
      <c r="V47" s="122"/>
      <c r="W47" s="122"/>
      <c r="X47" s="122"/>
      <c r="Y47" s="123"/>
    </row>
    <row r="48" spans="1:27" s="168" customFormat="1">
      <c r="A48" s="124"/>
      <c r="B48" s="124"/>
      <c r="C48" s="364"/>
      <c r="D48" s="364"/>
      <c r="E48" s="36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78"/>
      <c r="U48" s="122"/>
      <c r="V48" s="122"/>
      <c r="W48" s="122"/>
      <c r="X48" s="122"/>
      <c r="Y48" s="123"/>
    </row>
    <row r="49" spans="1:25" s="168" customFormat="1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82"/>
      <c r="U49" s="122"/>
      <c r="V49" s="122"/>
      <c r="W49" s="122"/>
      <c r="X49" s="122"/>
      <c r="Y49" s="123"/>
    </row>
    <row r="50" spans="1:25" s="168" customFormat="1">
      <c r="A50" s="124"/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78"/>
      <c r="U50" s="182"/>
      <c r="V50" s="122"/>
      <c r="W50" s="122"/>
      <c r="X50" s="122"/>
      <c r="Y50" s="123"/>
    </row>
    <row r="51" spans="1:25" s="168" customFormat="1">
      <c r="A51" s="124"/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82"/>
      <c r="U51" s="182"/>
      <c r="V51" s="122"/>
      <c r="W51" s="122"/>
      <c r="X51" s="122"/>
      <c r="Y51" s="123"/>
    </row>
    <row r="52" spans="1:25" s="168" customFormat="1">
      <c r="A52" s="124"/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78"/>
      <c r="U52" s="182"/>
      <c r="V52" s="122"/>
      <c r="W52" s="122"/>
      <c r="X52" s="122"/>
      <c r="Y52" s="123"/>
    </row>
    <row r="53" spans="1:25" s="168" customFormat="1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89"/>
      <c r="U53" s="182"/>
      <c r="V53" s="122"/>
      <c r="W53" s="122"/>
      <c r="X53" s="122"/>
      <c r="Y53" s="123"/>
    </row>
    <row r="54" spans="1:25" s="168" customFormat="1">
      <c r="A54" s="124"/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78"/>
      <c r="U54" s="189"/>
      <c r="V54" s="122"/>
      <c r="W54" s="122"/>
      <c r="X54" s="122"/>
      <c r="Y54" s="123"/>
    </row>
    <row r="55" spans="1:25" s="168" customFormat="1">
      <c r="A55" s="124"/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82"/>
      <c r="U55" s="182"/>
      <c r="V55" s="122"/>
      <c r="W55" s="122"/>
      <c r="X55" s="122"/>
      <c r="Y55" s="123"/>
    </row>
    <row r="56" spans="1:25" s="168" customFormat="1">
      <c r="A56" s="124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78"/>
      <c r="U56" s="182"/>
      <c r="V56" s="122"/>
      <c r="W56" s="122"/>
      <c r="X56" s="122"/>
      <c r="Y56" s="123"/>
    </row>
  </sheetData>
  <sheetProtection formatCells="0" insertColumns="0" insertRows="0" deleteColumns="0" deleteRows="0" selectLockedCells="1"/>
  <mergeCells count="110">
    <mergeCell ref="A1:B4"/>
    <mergeCell ref="C1:R2"/>
    <mergeCell ref="O5:R5"/>
    <mergeCell ref="A6:B6"/>
    <mergeCell ref="C6:I6"/>
    <mergeCell ref="L6:P6"/>
    <mergeCell ref="A7:B7"/>
    <mergeCell ref="C7:I7"/>
    <mergeCell ref="L7:P7"/>
    <mergeCell ref="A8:B8"/>
    <mergeCell ref="C8:I8"/>
    <mergeCell ref="K8:K9"/>
    <mergeCell ref="L8:M8"/>
    <mergeCell ref="N8:R8"/>
    <mergeCell ref="A9:B9"/>
    <mergeCell ref="C9:I9"/>
    <mergeCell ref="M13:N13"/>
    <mergeCell ref="P13:Q13"/>
    <mergeCell ref="L9:M9"/>
    <mergeCell ref="N9:R9"/>
    <mergeCell ref="E11:H11"/>
    <mergeCell ref="I11:L11"/>
    <mergeCell ref="M11:Q11"/>
    <mergeCell ref="R11:R16"/>
    <mergeCell ref="M12:Q12"/>
    <mergeCell ref="E16:F16"/>
    <mergeCell ref="I16:J16"/>
    <mergeCell ref="M16:O16"/>
    <mergeCell ref="A17:A18"/>
    <mergeCell ref="B17:C18"/>
    <mergeCell ref="F17:H17"/>
    <mergeCell ref="J17:L17"/>
    <mergeCell ref="O17:Q17"/>
    <mergeCell ref="E18:H18"/>
    <mergeCell ref="I18:L18"/>
    <mergeCell ref="A11:A16"/>
    <mergeCell ref="B11:C16"/>
    <mergeCell ref="D11:D16"/>
    <mergeCell ref="M18:Q18"/>
    <mergeCell ref="E14:F14"/>
    <mergeCell ref="I14:J14"/>
    <mergeCell ref="M14:N14"/>
    <mergeCell ref="E15:F15"/>
    <mergeCell ref="I15:J15"/>
    <mergeCell ref="M15:O15"/>
    <mergeCell ref="A19:A20"/>
    <mergeCell ref="B19:C20"/>
    <mergeCell ref="F19:H19"/>
    <mergeCell ref="J19:L19"/>
    <mergeCell ref="O19:Q19"/>
    <mergeCell ref="E20:H20"/>
    <mergeCell ref="I20:L20"/>
    <mergeCell ref="M20:Q20"/>
    <mergeCell ref="A23:A24"/>
    <mergeCell ref="B23:C24"/>
    <mergeCell ref="F23:H23"/>
    <mergeCell ref="J23:L23"/>
    <mergeCell ref="O23:Q23"/>
    <mergeCell ref="E24:H24"/>
    <mergeCell ref="I24:L24"/>
    <mergeCell ref="M24:Q24"/>
    <mergeCell ref="A21:A22"/>
    <mergeCell ref="B21:C22"/>
    <mergeCell ref="F21:H21"/>
    <mergeCell ref="J21:L21"/>
    <mergeCell ref="O21:Q21"/>
    <mergeCell ref="E22:H22"/>
    <mergeCell ref="I22:L22"/>
    <mergeCell ref="M22:Q22"/>
    <mergeCell ref="A27:A28"/>
    <mergeCell ref="B27:C28"/>
    <mergeCell ref="F27:H27"/>
    <mergeCell ref="J27:L27"/>
    <mergeCell ref="O27:Q27"/>
    <mergeCell ref="E28:H28"/>
    <mergeCell ref="I28:L28"/>
    <mergeCell ref="M28:Q28"/>
    <mergeCell ref="A25:A26"/>
    <mergeCell ref="B25:C26"/>
    <mergeCell ref="F25:H25"/>
    <mergeCell ref="J25:L25"/>
    <mergeCell ref="O25:Q25"/>
    <mergeCell ref="E26:H26"/>
    <mergeCell ref="I26:L26"/>
    <mergeCell ref="M26:Q26"/>
    <mergeCell ref="A31:D31"/>
    <mergeCell ref="E31:H31"/>
    <mergeCell ref="I31:L31"/>
    <mergeCell ref="M31:Q31"/>
    <mergeCell ref="A32:D32"/>
    <mergeCell ref="E32:H32"/>
    <mergeCell ref="I32:L32"/>
    <mergeCell ref="M32:Q32"/>
    <mergeCell ref="A29:D29"/>
    <mergeCell ref="E29:H29"/>
    <mergeCell ref="I29:L29"/>
    <mergeCell ref="M29:Q29"/>
    <mergeCell ref="A30:D30"/>
    <mergeCell ref="E30:H30"/>
    <mergeCell ref="I30:L30"/>
    <mergeCell ref="M30:Q30"/>
    <mergeCell ref="D46:E46"/>
    <mergeCell ref="D47:E47"/>
    <mergeCell ref="C48:E48"/>
    <mergeCell ref="A33:D33"/>
    <mergeCell ref="E33:H33"/>
    <mergeCell ref="I33:L33"/>
    <mergeCell ref="M33:Q33"/>
    <mergeCell ref="C35:R39"/>
    <mergeCell ref="C45:E45"/>
  </mergeCells>
  <conditionalFormatting sqref="N9">
    <cfRule type="cellIs" dxfId="12" priority="87" operator="equal">
      <formula>"Cálculo automático"</formula>
    </cfRule>
  </conditionalFormatting>
  <conditionalFormatting sqref="R18 R20 R22 R24 R26 R28">
    <cfRule type="cellIs" dxfId="11" priority="86" operator="equal">
      <formula>"Lançar valor para as duas etapas, mesmo que ZERO"</formula>
    </cfRule>
  </conditionalFormatting>
  <conditionalFormatting sqref="E17:F17 M17:O17 I17:J17 E18:Q18 E19:F19 M19:O19 I19:J19 E20:Q20 E21:F21 M21:O21 I21:J21 E22:Q22 E23:F23 M23:O23 I23:J23 E24:Q24 M25:O25 I25:J25 E26:Q26 E27:F27 M27:O27 I27:J27 E28:Q28 E25:F25">
    <cfRule type="cellIs" dxfId="10" priority="85" operator="equal">
      <formula>0</formula>
    </cfRule>
  </conditionalFormatting>
  <conditionalFormatting sqref="G15 P14 K15">
    <cfRule type="cellIs" dxfId="9" priority="84" operator="equal">
      <formula>"XXX"</formula>
    </cfRule>
  </conditionalFormatting>
  <conditionalFormatting sqref="E17:Q28">
    <cfRule type="cellIs" dxfId="8" priority="82" operator="equal">
      <formula>"Lançar o valor mesmo que ZERO"</formula>
    </cfRule>
  </conditionalFormatting>
  <conditionalFormatting sqref="L7">
    <cfRule type="cellIs" dxfId="7" priority="81" operator="equal">
      <formula>"Inserir n.º do boletim e se com ou sem desoneração"</formula>
    </cfRule>
  </conditionalFormatting>
  <conditionalFormatting sqref="R7">
    <cfRule type="cellIs" dxfId="6" priority="80" operator="equal">
      <formula>"Inserir data base do orçamento proposto"</formula>
    </cfRule>
  </conditionalFormatting>
  <conditionalFormatting sqref="C6">
    <cfRule type="cellIs" dxfId="5" priority="79" operator="equal">
      <formula>"Nome do Municipio"</formula>
    </cfRule>
  </conditionalFormatting>
  <conditionalFormatting sqref="C7">
    <cfRule type="cellIs" dxfId="4" priority="78" operator="equal">
      <formula>"Nome do Objeto aprovado no COC"</formula>
    </cfRule>
  </conditionalFormatting>
  <conditionalFormatting sqref="C8">
    <cfRule type="cellIs" dxfId="3" priority="77" operator="equal">
      <formula>"N.º do processo da Secretaria de Turismo"</formula>
    </cfRule>
  </conditionalFormatting>
  <conditionalFormatting sqref="E31:H31 M31:Q31">
    <cfRule type="cellIs" dxfId="2" priority="76" operator="equal">
      <formula>"Lançar o valor da contrapartida, mesmo que ZERO"</formula>
    </cfRule>
  </conditionalFormatting>
  <conditionalFormatting sqref="B17:C28">
    <cfRule type="cellIs" dxfId="1" priority="75" operator="equal">
      <formula>"Descrição do Item"</formula>
    </cfRule>
  </conditionalFormatting>
  <conditionalFormatting sqref="I31:L31">
    <cfRule type="cellIs" dxfId="0" priority="71" operator="equal">
      <formula>"Lançar o valor da contrapartida, mesmo que ZERO"</formula>
    </cfRule>
  </conditionalFormatting>
  <pageMargins left="0.23622047244094491" right="0.23622047244094491" top="0.74803149606299213" bottom="0.74803149606299213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21</vt:i4>
      </vt:variant>
    </vt:vector>
  </HeadingPairs>
  <TitlesOfParts>
    <vt:vector size="25" baseType="lpstr">
      <vt:lpstr>Orçamento</vt:lpstr>
      <vt:lpstr>MEMORIAL DE CÁLCULO (2)</vt:lpstr>
      <vt:lpstr>CRONOGRAMA FÍSICOFINANCEIRO (2</vt:lpstr>
      <vt:lpstr>CRONOGRAMA DE DESEMBOLSO PADRÃO</vt:lpstr>
      <vt:lpstr>'CRONOGRAMA DE DESEMBOLSO PADRÃO'!Area_de_impressao</vt:lpstr>
      <vt:lpstr>'CRONOGRAMA FÍSICOFINANCEIRO (2'!Area_de_impressao</vt:lpstr>
      <vt:lpstr>'MEMORIAL DE CÁLCULO (2)'!Area_de_impressao</vt:lpstr>
      <vt:lpstr>Orçamento!Area_de_impressao</vt:lpstr>
      <vt:lpstr>'CRONOGRAMA FÍSICOFINANCEIRO (2'!Print_Titles_0</vt:lpstr>
      <vt:lpstr>'CRONOGRAMA FÍSICOFINANCEIRO (2'!Print_Titles_0_0</vt:lpstr>
      <vt:lpstr>'CRONOGRAMA FÍSICOFINANCEIRO (2'!Print_Titles_0_0_0</vt:lpstr>
      <vt:lpstr>'CRONOGRAMA FÍSICOFINANCEIRO (2'!Print_Titles_0_0_0_0</vt:lpstr>
      <vt:lpstr>'CRONOGRAMA FÍSICOFINANCEIRO (2'!Print_Titles_0_0_0_0_0</vt:lpstr>
      <vt:lpstr>'CRONOGRAMA FÍSICOFINANCEIRO (2'!Print_Titles_0_0_0_0_0_0</vt:lpstr>
      <vt:lpstr>'CRONOGRAMA FÍSICOFINANCEIRO (2'!Print_Titles_0_0_0_0_0_0_0</vt:lpstr>
      <vt:lpstr>'CRONOGRAMA FÍSICOFINANCEIRO (2'!Print_Titles_0_0_0_0_0_0_0_0</vt:lpstr>
      <vt:lpstr>'CRONOGRAMA FÍSICOFINANCEIRO (2'!Print_Titles_0_0_0_0_0_0_0_0_0</vt:lpstr>
      <vt:lpstr>'CRONOGRAMA FÍSICOFINANCEIRO (2'!Print_Titles_0_0_0_0_0_0_0_0_0_0</vt:lpstr>
      <vt:lpstr>'CRONOGRAMA FÍSICOFINANCEIRO (2'!Print_Titles_0_0_0_0_0_0_0_0_0_0_0</vt:lpstr>
      <vt:lpstr>'CRONOGRAMA FÍSICOFINANCEIRO (2'!Print_Titles_0_0_0_0_0_0_0_0_0_0_0_0</vt:lpstr>
      <vt:lpstr>'CRONOGRAMA FÍSICOFINANCEIRO (2'!Print_Titles_0_0_0_0_0_0_0_0_0_0_0_0_0</vt:lpstr>
      <vt:lpstr>'CRONOGRAMA FÍSICOFINANCEIRO (2'!Print_Titles_0_0_0_0_0_0_0_0_0_0_0_0_0_0</vt:lpstr>
      <vt:lpstr>'CRONOGRAMA FÍSICOFINANCEIRO (2'!Titulos_de_impressao</vt:lpstr>
      <vt:lpstr>'MEMORIAL DE CÁLCULO (2)'!Titulos_de_impressao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2022-04-07T13:11:19Z</cp:lastPrinted>
  <dcterms:created xsi:type="dcterms:W3CDTF">2017-08-30T19:42:29Z</dcterms:created>
  <dcterms:modified xsi:type="dcterms:W3CDTF">2022-04-07T19:31:29Z</dcterms:modified>
</cp:coreProperties>
</file>