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20" activeTab="3"/>
  </bookViews>
  <sheets>
    <sheet name="Orçamento" sheetId="1" r:id="rId1"/>
    <sheet name="MEMORIA DE CALCULO" sheetId="2" r:id="rId2"/>
    <sheet name="CRONOGRAMA FÍSICOFINANCEIRO DEF" sheetId="3" r:id="rId3"/>
    <sheet name="CRONOG DE DESEMBOLSO 2 Eta OK" sheetId="7" r:id="rId4"/>
  </sheets>
  <definedNames>
    <definedName name="_xlnm.Print_Area" localSheetId="3">'CRONOG DE DESEMBOLSO 2 Eta OK'!$A$1:$N$85</definedName>
    <definedName name="_xlnm.Print_Area" localSheetId="2">'CRONOGRAMA FÍSICOFINANCEIRO DEF'!$A$1:$N$76</definedName>
    <definedName name="_xlnm.Print_Area" localSheetId="1">'MEMORIA DE CALCULO'!$A$1:$H$273</definedName>
    <definedName name="_xlnm.Print_Area" localSheetId="0">Orçamento!$A$1:$H$294</definedName>
    <definedName name="Print_Titles_0" localSheetId="2">'CRONOGRAMA FÍSICOFINANCEIRO DEF'!$1:$18</definedName>
    <definedName name="Print_Titles_0_0" localSheetId="2">'CRONOGRAMA FÍSICOFINANCEIRO DEF'!$1:$18</definedName>
    <definedName name="Print_Titles_0_0_0" localSheetId="2">'CRONOGRAMA FÍSICOFINANCEIRO DEF'!$1:$18</definedName>
    <definedName name="Print_Titles_0_0_0_0" localSheetId="2">'CRONOGRAMA FÍSICOFINANCEIRO DEF'!$1:$18</definedName>
    <definedName name="Print_Titles_0_0_0_0_0" localSheetId="2">'CRONOGRAMA FÍSICOFINANCEIRO DEF'!$1:$18</definedName>
    <definedName name="Print_Titles_0_0_0_0_0_0" localSheetId="2">'CRONOGRAMA FÍSICOFINANCEIRO DEF'!$1:$18</definedName>
    <definedName name="Print_Titles_0_0_0_0_0_0_0" localSheetId="2">'CRONOGRAMA FÍSICOFINANCEIRO DEF'!$1:$18</definedName>
    <definedName name="Print_Titles_0_0_0_0_0_0_0_0" localSheetId="2">'CRONOGRAMA FÍSICOFINANCEIRO DEF'!$1:$18</definedName>
    <definedName name="Print_Titles_0_0_0_0_0_0_0_0_0" localSheetId="2">'CRONOGRAMA FÍSICOFINANCEIRO DEF'!$1:$18</definedName>
    <definedName name="Print_Titles_0_0_0_0_0_0_0_0_0_0" localSheetId="2">'CRONOGRAMA FÍSICOFINANCEIRO DEF'!$1:$18</definedName>
    <definedName name="Print_Titles_0_0_0_0_0_0_0_0_0_0_0" localSheetId="2">'CRONOGRAMA FÍSICOFINANCEIRO DEF'!$1:$18</definedName>
    <definedName name="Print_Titles_0_0_0_0_0_0_0_0_0_0_0_0" localSheetId="2">'CRONOGRAMA FÍSICOFINANCEIRO DEF'!$1:$18</definedName>
    <definedName name="Print_Titles_0_0_0_0_0_0_0_0_0_0_0_0_0" localSheetId="2">'CRONOGRAMA FÍSICOFINANCEIRO DEF'!$1:$18</definedName>
    <definedName name="Print_Titles_0_0_0_0_0_0_0_0_0_0_0_0_0_0" localSheetId="2">'CRONOGRAMA FÍSICOFINANCEIRO DEF'!$1:$18</definedName>
    <definedName name="_xlnm.Print_Titles" localSheetId="2">'CRONOGRAMA FÍSICOFINANCEIRO DEF'!$1:$18</definedName>
    <definedName name="_xlnm.Print_Titles" localSheetId="1">'MEMORIA DE CALCULO'!$1:$14</definedName>
    <definedName name="_xlnm.Print_Titles" localSheetId="0">Orçamento!$1:$14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8" i="3"/>
  <c r="H58"/>
  <c r="H68" s="1"/>
  <c r="M68"/>
  <c r="M65"/>
  <c r="D68"/>
  <c r="N66"/>
  <c r="L65" s="1"/>
  <c r="G58"/>
  <c r="G68" s="1"/>
  <c r="N52"/>
  <c r="D51" s="1"/>
  <c r="K48"/>
  <c r="K68" s="1"/>
  <c r="F44"/>
  <c r="E44"/>
  <c r="E68" s="1"/>
  <c r="N42"/>
  <c r="I41" s="1"/>
  <c r="J34"/>
  <c r="I34"/>
  <c r="N30"/>
  <c r="H29" s="1"/>
  <c r="N58" l="1"/>
  <c r="K65"/>
  <c r="E51"/>
  <c r="F41"/>
  <c r="G41"/>
  <c r="I62"/>
  <c r="I68" s="1"/>
  <c r="F229" i="2"/>
  <c r="F114"/>
  <c r="F102"/>
  <c r="F101"/>
  <c r="F100"/>
  <c r="F116" i="1"/>
  <c r="F241"/>
  <c r="F104"/>
  <c r="F103"/>
  <c r="F102"/>
  <c r="H57" i="3" l="1"/>
  <c r="G57"/>
  <c r="F99" i="2"/>
  <c r="F101" i="1"/>
  <c r="N18" i="7" l="1"/>
  <c r="J62" i="3" l="1"/>
  <c r="J68" s="1"/>
  <c r="L60"/>
  <c r="L68" s="1"/>
  <c r="N48" l="1"/>
  <c r="N36"/>
  <c r="N38"/>
  <c r="N28"/>
  <c r="N26"/>
  <c r="G25" s="1"/>
  <c r="F237" i="2"/>
  <c r="F235"/>
  <c r="F234"/>
  <c r="F225"/>
  <c r="F220"/>
  <c r="F219"/>
  <c r="F218"/>
  <c r="F217"/>
  <c r="F216"/>
  <c r="F203"/>
  <c r="F199"/>
  <c r="F196"/>
  <c r="F192"/>
  <c r="F191"/>
  <c r="F189"/>
  <c r="F188"/>
  <c r="F187"/>
  <c r="F186"/>
  <c r="F185"/>
  <c r="F184"/>
  <c r="F166"/>
  <c r="F165"/>
  <c r="F154"/>
  <c r="F152"/>
  <c r="F151"/>
  <c r="F150"/>
  <c r="F142"/>
  <c r="F141"/>
  <c r="F134"/>
  <c r="F126"/>
  <c r="F124"/>
  <c r="F123"/>
  <c r="F122"/>
  <c r="F121"/>
  <c r="F113"/>
  <c r="F112"/>
  <c r="F111"/>
  <c r="F109"/>
  <c r="F96"/>
  <c r="F95"/>
  <c r="F94"/>
  <c r="F93"/>
  <c r="F92"/>
  <c r="F91"/>
  <c r="F90"/>
  <c r="F89"/>
  <c r="F88"/>
  <c r="F87"/>
  <c r="F79"/>
  <c r="F78"/>
  <c r="F76"/>
  <c r="F77" s="1"/>
  <c r="F73"/>
  <c r="F72"/>
  <c r="F71"/>
  <c r="F68"/>
  <c r="F67"/>
  <c r="F66"/>
  <c r="F65"/>
  <c r="F64"/>
  <c r="F61"/>
  <c r="F60"/>
  <c r="F59"/>
  <c r="F58"/>
  <c r="F57"/>
  <c r="F56"/>
  <c r="F55"/>
  <c r="F54"/>
  <c r="F110" s="1"/>
  <c r="F51"/>
  <c r="F50"/>
  <c r="F49"/>
  <c r="F47"/>
  <c r="F48" s="1"/>
  <c r="F46"/>
  <c r="F45"/>
  <c r="F44"/>
  <c r="F41"/>
  <c r="F40"/>
  <c r="F39"/>
  <c r="F38"/>
  <c r="F37"/>
  <c r="F36"/>
  <c r="F35"/>
  <c r="F34"/>
  <c r="F33"/>
  <c r="F32"/>
  <c r="F31"/>
  <c r="F28"/>
  <c r="F25"/>
  <c r="F24"/>
  <c r="F23"/>
  <c r="F22"/>
  <c r="F21"/>
  <c r="F20"/>
  <c r="F19"/>
  <c r="F18"/>
  <c r="F114" i="1"/>
  <c r="F115"/>
  <c r="F113"/>
  <c r="F170"/>
  <c r="F169"/>
  <c r="F111"/>
  <c r="F78"/>
  <c r="F79" s="1"/>
  <c r="F73"/>
  <c r="F69"/>
  <c r="F68"/>
  <c r="F67"/>
  <c r="F66"/>
  <c r="F56"/>
  <c r="F112" s="1"/>
  <c r="F53"/>
  <c r="F52"/>
  <c r="F51"/>
  <c r="F49"/>
  <c r="F50" s="1"/>
  <c r="F48"/>
  <c r="F47"/>
  <c r="F46"/>
  <c r="F43"/>
  <c r="F42"/>
  <c r="F41"/>
  <c r="F40"/>
  <c r="F39"/>
  <c r="F38"/>
  <c r="F37"/>
  <c r="F33"/>
  <c r="F30"/>
  <c r="F27"/>
  <c r="F26"/>
  <c r="F23"/>
  <c r="F22"/>
  <c r="F21"/>
  <c r="L47" i="3" l="1"/>
  <c r="M47"/>
  <c r="K47"/>
  <c r="G27"/>
  <c r="I27"/>
  <c r="H27"/>
  <c r="I37"/>
  <c r="H37"/>
  <c r="G29"/>
  <c r="F75" i="1"/>
  <c r="F70"/>
  <c r="F24" l="1"/>
  <c r="N42" i="7"/>
  <c r="N46"/>
  <c r="F45" s="1"/>
  <c r="E68"/>
  <c r="I68"/>
  <c r="N64"/>
  <c r="F63" s="1"/>
  <c r="N62"/>
  <c r="K61" s="1"/>
  <c r="F61"/>
  <c r="N60"/>
  <c r="K59" s="1"/>
  <c r="N58"/>
  <c r="F57" s="1"/>
  <c r="N56"/>
  <c r="K55" s="1"/>
  <c r="F55"/>
  <c r="N54"/>
  <c r="F53" s="1"/>
  <c r="N48"/>
  <c r="F47" s="1"/>
  <c r="N50"/>
  <c r="F49" s="1"/>
  <c r="N44"/>
  <c r="N61" l="1"/>
  <c r="F59"/>
  <c r="N59" s="1"/>
  <c r="N68"/>
  <c r="N55"/>
  <c r="K45"/>
  <c r="N45" s="1"/>
  <c r="K63"/>
  <c r="N63" s="1"/>
  <c r="K57"/>
  <c r="N57" s="1"/>
  <c r="K53"/>
  <c r="N53" s="1"/>
  <c r="K47"/>
  <c r="N47" s="1"/>
  <c r="K49"/>
  <c r="N49" s="1"/>
  <c r="I66"/>
  <c r="N67"/>
  <c r="N52"/>
  <c r="F41"/>
  <c r="N40"/>
  <c r="F39" s="1"/>
  <c r="N38"/>
  <c r="F37" s="1"/>
  <c r="N36"/>
  <c r="F35" s="1"/>
  <c r="N34"/>
  <c r="F33" s="1"/>
  <c r="N32"/>
  <c r="F31" s="1"/>
  <c r="N30"/>
  <c r="F29" s="1"/>
  <c r="N28"/>
  <c r="F27" s="1"/>
  <c r="N26"/>
  <c r="F25" s="1"/>
  <c r="N24"/>
  <c r="F23" s="1"/>
  <c r="N22"/>
  <c r="F21" s="1"/>
  <c r="N20"/>
  <c r="F19" s="1"/>
  <c r="F17"/>
  <c r="K13"/>
  <c r="F13"/>
  <c r="K51" l="1"/>
  <c r="F51"/>
  <c r="I69"/>
  <c r="L9"/>
  <c r="F43"/>
  <c r="K43"/>
  <c r="E66"/>
  <c r="N66" s="1"/>
  <c r="K17"/>
  <c r="N17" s="1"/>
  <c r="K19"/>
  <c r="N19" s="1"/>
  <c r="K21"/>
  <c r="N21" s="1"/>
  <c r="K23"/>
  <c r="N23" s="1"/>
  <c r="K25"/>
  <c r="N25" s="1"/>
  <c r="K27"/>
  <c r="N27" s="1"/>
  <c r="K29"/>
  <c r="N29" s="1"/>
  <c r="K31"/>
  <c r="N31" s="1"/>
  <c r="K33"/>
  <c r="N33" s="1"/>
  <c r="K35"/>
  <c r="N35" s="1"/>
  <c r="K37"/>
  <c r="N37" s="1"/>
  <c r="K39"/>
  <c r="N39" s="1"/>
  <c r="K41"/>
  <c r="N41" s="1"/>
  <c r="N51"/>
  <c r="N43" l="1"/>
  <c r="E69"/>
  <c r="N69" s="1"/>
  <c r="F154" i="1" l="1"/>
  <c r="F58"/>
  <c r="N62" i="3"/>
  <c r="N64"/>
  <c r="N60"/>
  <c r="N50"/>
  <c r="M49" s="1"/>
  <c r="N24"/>
  <c r="F23" s="1"/>
  <c r="K63" l="1"/>
  <c r="J63"/>
  <c r="N68"/>
  <c r="I61"/>
  <c r="L59"/>
  <c r="N34"/>
  <c r="J61"/>
  <c r="F215" i="1"/>
  <c r="F208"/>
  <c r="F275"/>
  <c r="F231"/>
  <c r="F249"/>
  <c r="F247"/>
  <c r="F246"/>
  <c r="F190"/>
  <c r="F193"/>
  <c r="F229"/>
  <c r="F230"/>
  <c r="F136"/>
  <c r="F126"/>
  <c r="F124"/>
  <c r="F128"/>
  <c r="F125"/>
  <c r="F123"/>
  <c r="F237"/>
  <c r="F232"/>
  <c r="F228"/>
  <c r="F211"/>
  <c r="F198"/>
  <c r="F203"/>
  <c r="F201"/>
  <c r="F200"/>
  <c r="F199"/>
  <c r="F197"/>
  <c r="F196"/>
  <c r="F204"/>
  <c r="F181" i="2"/>
  <c r="F179"/>
  <c r="F164" i="1"/>
  <c r="F161" i="2"/>
  <c r="F152" i="1"/>
  <c r="F153"/>
  <c r="F144"/>
  <c r="F143"/>
  <c r="F156"/>
  <c r="F117" i="2"/>
  <c r="F119" i="1"/>
  <c r="F108"/>
  <c r="F107"/>
  <c r="F97"/>
  <c r="F96"/>
  <c r="F95"/>
  <c r="F94"/>
  <c r="F93"/>
  <c r="F98"/>
  <c r="F92"/>
  <c r="F91"/>
  <c r="F89"/>
  <c r="F90"/>
  <c r="F83" i="2"/>
  <c r="F82"/>
  <c r="F84" i="1"/>
  <c r="F80"/>
  <c r="F81"/>
  <c r="F74"/>
  <c r="F63"/>
  <c r="F62"/>
  <c r="F61"/>
  <c r="F60"/>
  <c r="F59"/>
  <c r="F36"/>
  <c r="F35"/>
  <c r="F34"/>
  <c r="F25"/>
  <c r="F263" i="2"/>
  <c r="I33" i="3" l="1"/>
  <c r="J33"/>
  <c r="F51"/>
  <c r="L67"/>
  <c r="M67"/>
  <c r="J67"/>
  <c r="N56"/>
  <c r="G55" s="1"/>
  <c r="N54"/>
  <c r="N46"/>
  <c r="L45" s="1"/>
  <c r="N40"/>
  <c r="N32"/>
  <c r="N22"/>
  <c r="N20"/>
  <c r="E53" l="1"/>
  <c r="F53"/>
  <c r="D67"/>
  <c r="I67"/>
  <c r="K67"/>
  <c r="N61"/>
  <c r="J59"/>
  <c r="K59" l="1"/>
  <c r="I59"/>
  <c r="E21"/>
  <c r="D19"/>
  <c r="N47" l="1"/>
  <c r="N55"/>
  <c r="N23" l="1"/>
  <c r="N35"/>
  <c r="N63"/>
  <c r="N31"/>
  <c r="N53"/>
  <c r="N27"/>
  <c r="G67"/>
  <c r="N45"/>
  <c r="E67"/>
  <c r="F67"/>
  <c r="N65"/>
  <c r="N49"/>
  <c r="N59"/>
  <c r="H67"/>
  <c r="N33"/>
  <c r="N37"/>
  <c r="N29"/>
  <c r="N57"/>
  <c r="N19"/>
  <c r="N51"/>
  <c r="N41"/>
  <c r="N21"/>
  <c r="N39"/>
  <c r="F105" i="2"/>
  <c r="N67" i="3" l="1"/>
  <c r="F57" i="1" l="1"/>
  <c r="F20" l="1"/>
  <c r="N25" i="3" l="1"/>
  <c r="E43" l="1"/>
  <c r="N43"/>
  <c r="N44"/>
  <c r="F43" s="1"/>
</calcChain>
</file>

<file path=xl/sharedStrings.xml><?xml version="1.0" encoding="utf-8"?>
<sst xmlns="http://schemas.openxmlformats.org/spreadsheetml/2006/main" count="2478" uniqueCount="901">
  <si>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</si>
  <si>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</si>
  <si>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</si>
  <si>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</si>
  <si>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</si>
  <si>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</si>
  <si>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</si>
  <si>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</si>
  <si>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</si>
  <si>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</si>
  <si>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2.1</t>
  </si>
  <si>
    <t>3.1</t>
  </si>
  <si>
    <t>4.1</t>
  </si>
  <si>
    <t>4.2</t>
  </si>
  <si>
    <t>4.3</t>
  </si>
  <si>
    <t>5.1</t>
  </si>
  <si>
    <t>5.2</t>
  </si>
  <si>
    <t>5.3</t>
  </si>
  <si>
    <t>BDI (%)</t>
  </si>
  <si>
    <t>m²</t>
  </si>
  <si>
    <t>m³</t>
  </si>
  <si>
    <t>m</t>
  </si>
  <si>
    <t>Resp. Téc.: Arq. Dênis Mendes de Moraes</t>
  </si>
  <si>
    <t>CAU Nº.: A96375-5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</si>
  <si>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</si>
  <si>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</si>
  <si>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</si>
  <si>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</si>
  <si>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</si>
  <si>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</si>
  <si>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</si>
  <si>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2.2</t>
  </si>
  <si>
    <t>2.3</t>
  </si>
  <si>
    <t>2.4</t>
  </si>
  <si>
    <t>2.5</t>
  </si>
  <si>
    <t>2.6</t>
  </si>
  <si>
    <t>10.01.040</t>
  </si>
  <si>
    <t>10.01.060</t>
  </si>
  <si>
    <t>1.2</t>
  </si>
  <si>
    <t>unid.</t>
  </si>
  <si>
    <t>5.4</t>
  </si>
  <si>
    <t>5.5</t>
  </si>
  <si>
    <t>Cabo de cobre de 4 mm², isolamento 750 V - isolação em PVC 70°C</t>
  </si>
  <si>
    <t>39.02.020</t>
  </si>
  <si>
    <t>38.01.040</t>
  </si>
  <si>
    <t>Braço em tubo de ferro galvanizado de 1´ x 1,00 m para fixação de uma luminária</t>
  </si>
  <si>
    <t>41.10.060</t>
  </si>
  <si>
    <t>cj</t>
  </si>
  <si>
    <t>cj.</t>
  </si>
  <si>
    <t>Esmalte a base de água em estrutura metálica</t>
  </si>
  <si>
    <t>33.07.102</t>
  </si>
  <si>
    <t>kg</t>
  </si>
  <si>
    <t>5.6</t>
  </si>
  <si>
    <t>5.7</t>
  </si>
  <si>
    <t>5.8</t>
  </si>
  <si>
    <t>5.9</t>
  </si>
  <si>
    <t>5.10</t>
  </si>
  <si>
    <t>7.1</t>
  </si>
  <si>
    <t>7.2</t>
  </si>
  <si>
    <t>Cabo de cobre de 2,5 mm², isolamento 750 V - isolação em PVC 70°C</t>
  </si>
  <si>
    <t>39.02.016</t>
  </si>
  <si>
    <t>A</t>
  </si>
  <si>
    <t>B</t>
  </si>
  <si>
    <t xml:space="preserve">    Prefeitura Municipal da Estância Turística de Paraguaçu Paulista</t>
  </si>
  <si>
    <t>07.11.020</t>
  </si>
  <si>
    <t>1.3</t>
  </si>
  <si>
    <t>1.4</t>
  </si>
  <si>
    <t>1.5</t>
  </si>
  <si>
    <t>1.6</t>
  </si>
  <si>
    <t>1.7</t>
  </si>
  <si>
    <t>1.8</t>
  </si>
  <si>
    <t>1.9</t>
  </si>
  <si>
    <t>3.2</t>
  </si>
  <si>
    <t>3.3</t>
  </si>
  <si>
    <t>3.4</t>
  </si>
  <si>
    <t>3.5</t>
  </si>
  <si>
    <t>3.6</t>
  </si>
  <si>
    <t>unid</t>
  </si>
  <si>
    <t>3.7</t>
  </si>
  <si>
    <t>3.8</t>
  </si>
  <si>
    <t>11.16.040</t>
  </si>
  <si>
    <t>38.13.010</t>
  </si>
  <si>
    <t>2.7</t>
  </si>
  <si>
    <t>2.8</t>
  </si>
  <si>
    <t>2.9</t>
  </si>
  <si>
    <t>Reaterro manual apiloado sem controle de compactação</t>
  </si>
  <si>
    <t>06.11.040</t>
  </si>
  <si>
    <t>Lastro de pedra britada</t>
  </si>
  <si>
    <t>11.18.040</t>
  </si>
  <si>
    <t>Forma em madeira comum para estrutura</t>
  </si>
  <si>
    <t>09.01.030</t>
  </si>
  <si>
    <t>Broca em concreto armado diâmetro de 25 cm - completa</t>
  </si>
  <si>
    <t>12.01.041</t>
  </si>
  <si>
    <t>Locação de obra de edificação</t>
  </si>
  <si>
    <t>02.10.020</t>
  </si>
  <si>
    <t>2.10</t>
  </si>
  <si>
    <t>Subtotal item 8</t>
  </si>
  <si>
    <t>8.1</t>
  </si>
  <si>
    <t>8.2</t>
  </si>
  <si>
    <t>8.3</t>
  </si>
  <si>
    <t>8.4</t>
  </si>
  <si>
    <t>8.5</t>
  </si>
  <si>
    <t>9.1</t>
  </si>
  <si>
    <t>9.2</t>
  </si>
  <si>
    <t>8.6</t>
  </si>
  <si>
    <t>Subtotal item 9</t>
  </si>
  <si>
    <t>Escavação e carga mecanizada em solo de 1ª categoria, em campo aberto</t>
  </si>
  <si>
    <t>07.01.020</t>
  </si>
  <si>
    <t>14.02.040</t>
  </si>
  <si>
    <t>14.02.080</t>
  </si>
  <si>
    <t>4.4</t>
  </si>
  <si>
    <t>4.5</t>
  </si>
  <si>
    <t>Serviços Preliminares</t>
  </si>
  <si>
    <t>02.08.040</t>
  </si>
  <si>
    <t>Placa em lona com impressão digital e requadro em metalon</t>
  </si>
  <si>
    <t>03.02.020</t>
  </si>
  <si>
    <t>Demolição manual de alvenaria de fundação/embasamento - Demolição tijolo comum</t>
  </si>
  <si>
    <t>05.07.050</t>
  </si>
  <si>
    <t>Remoção de entulho de obra com caçamba metálica - material volumoso misturado por alvenaria, terra, madeira, papel, plástico e metal</t>
  </si>
  <si>
    <t>04.03.040</t>
  </si>
  <si>
    <t>Retirada de telhamento perfil e material qualquer, exceto barro (Telhado antigo total)</t>
  </si>
  <si>
    <t>04.09.020</t>
  </si>
  <si>
    <t>Retirada de esquadria metálica em geral (Portões metálicos)</t>
  </si>
  <si>
    <t>04.09.080</t>
  </si>
  <si>
    <t>Retirada de batente, corrimão ou peças lineares metálicas, fixados</t>
  </si>
  <si>
    <t>Reaterro compactado mecanizado de vala ou cava com compactador</t>
  </si>
  <si>
    <t>02.02.150</t>
  </si>
  <si>
    <t>Locação de container tipo deposito - área mínima de 13,80 m²</t>
  </si>
  <si>
    <t>um x mês</t>
  </si>
  <si>
    <t>Infraestrutura</t>
  </si>
  <si>
    <t>11.01.290</t>
  </si>
  <si>
    <t>Concreto usinado, fck = 25 MPa - para bombeamento (Sapatas)</t>
  </si>
  <si>
    <t>Lançamento e adensamento de concreto ou massa em fundação (Sapatas)</t>
  </si>
  <si>
    <t>Armadura em barra de aço CA-60 (A ou B) fyk= 600 Mpa (Sapatas)</t>
  </si>
  <si>
    <t>Kg</t>
  </si>
  <si>
    <t>Concreto usinado, fck = 25 MPa - para bombeamento (Vigas Baldrame)</t>
  </si>
  <si>
    <t>Lançamento e adensamento de concreto ou massa em fundação (Vigas Baldrame)</t>
  </si>
  <si>
    <t xml:space="preserve">Armadura em barra de aço CA-50 (A ou B) fyk= 500 Mpa  (Viga Baldrame) </t>
  </si>
  <si>
    <t>Armadura em barra de aço CA-60 (A ou B) fyk= 600 Mpa  (Viga Baldrame)</t>
  </si>
  <si>
    <t>32.17.030</t>
  </si>
  <si>
    <t>Impermeabilização em argamassa polimérica para umidade e água de percolação</t>
  </si>
  <si>
    <t>Supraestrutura</t>
  </si>
  <si>
    <t>15.03.131</t>
  </si>
  <si>
    <t>Alvenaria</t>
  </si>
  <si>
    <t>14.02.070</t>
  </si>
  <si>
    <t>Alvenaria de elevação de 1/2 tijolo maciço aparente (paredes de fechamento)</t>
  </si>
  <si>
    <t>Alvenaria de elevação de 1 tijolo maciço aparente (avanço da plataforma)</t>
  </si>
  <si>
    <t>4.6</t>
  </si>
  <si>
    <t>4.7</t>
  </si>
  <si>
    <t>Armadura em barra de aço CA-50 (A ou B) fyk= 500 Mpa</t>
  </si>
  <si>
    <t>4.8</t>
  </si>
  <si>
    <t xml:space="preserve">Armadura em barra de aço CA-60 (A ou B) fyk= 600 Mpa </t>
  </si>
  <si>
    <t>32.15.040</t>
  </si>
  <si>
    <t>Impermeabilização em manta asfáltica com armadura, tipo III-B, espessura de 4 mm</t>
  </si>
  <si>
    <t>Cobertura</t>
  </si>
  <si>
    <t>Fornecimento e montagem de estrutura em aço ASTM-A572 Grau 50, sem pintura (Tesouras)</t>
  </si>
  <si>
    <t>Fornecimento e montagem de estrutura em aço ASTM-A572 Grau 50, sem pintura (Terças)</t>
  </si>
  <si>
    <t>16.12.020</t>
  </si>
  <si>
    <t xml:space="preserve">Telhamento em chapa de aço pré-pintada com epóxi e poliéster, perfil ondulado, com espessura de 0,50 mm - Telhas tipo galvanizada ondulada </t>
  </si>
  <si>
    <t>16.16.040</t>
  </si>
  <si>
    <t>Telha ondulada translúcida em polipropileno</t>
  </si>
  <si>
    <t>16.33.052</t>
  </si>
  <si>
    <t>16.33.022</t>
  </si>
  <si>
    <t>Calha, rufo, afins em chapa galvanizada nº 24 - corte 0,33 m - Rufos</t>
  </si>
  <si>
    <t>Calha, rufo, afins em chapa galvanizada nº 24 - corte 0,33 m - Condutores verticais</t>
  </si>
  <si>
    <t>61.20.450</t>
  </si>
  <si>
    <t>Duto em chapa de aço galvanizado (chaminé para exaustão da locomotiva)</t>
  </si>
  <si>
    <t>Revestimento</t>
  </si>
  <si>
    <t>6.1</t>
  </si>
  <si>
    <t>6.2</t>
  </si>
  <si>
    <t>17.02.020</t>
  </si>
  <si>
    <t>Chapisco</t>
  </si>
  <si>
    <t>6.3</t>
  </si>
  <si>
    <t>Chapisco (Sisterna)</t>
  </si>
  <si>
    <t>6.4</t>
  </si>
  <si>
    <t>17.02.120</t>
  </si>
  <si>
    <t>Piso Interno</t>
  </si>
  <si>
    <t>17.05.070</t>
  </si>
  <si>
    <t>Piso com requadro em concreto simples com controle de fck= 20 Mpa (Avanço da área de lenha).</t>
  </si>
  <si>
    <t>18.05.020</t>
  </si>
  <si>
    <t>Revestimento em plaqueta laminada, para área interna e externa, sem rejunte</t>
  </si>
  <si>
    <t>Piso Externo - Rampas com Muro de Arrimo</t>
  </si>
  <si>
    <t>06.02.020</t>
  </si>
  <si>
    <t>Escavação manual em solo de 1ª e 2ª categoria em vala ou cava até 1,5 m</t>
  </si>
  <si>
    <t>Broca em concreto armado diâmetro de 25 cm - completa ( Muro de arrimo - rampas)</t>
  </si>
  <si>
    <t>Concreto usinado, fck = 25 MPa - para bombeamento (Pilaretes)</t>
  </si>
  <si>
    <t xml:space="preserve">Armadura em barra de aço CA-50 (A ou B) fyk= 500 Mpa  (Pilares e Vigas) </t>
  </si>
  <si>
    <t>8.7</t>
  </si>
  <si>
    <t>Armadura em barra de aço CA-60 (A ou B) fyk= 600 Mpa  (Pilares e Vigas)</t>
  </si>
  <si>
    <t>8.8</t>
  </si>
  <si>
    <t>8.9</t>
  </si>
  <si>
    <t>8.10</t>
  </si>
  <si>
    <t>54.04.340</t>
  </si>
  <si>
    <t>Pavimentação em lajota de concreto 35 MPa, espessura 6 cm, tipos: raquete, retangular, sextavado e 16 faces, com rejunte em areia</t>
  </si>
  <si>
    <t>Aberturas</t>
  </si>
  <si>
    <t>24.02.060</t>
  </si>
  <si>
    <t>Porta/portão de abrir em chapa, sob medida  (para entrada de lenha)</t>
  </si>
  <si>
    <t>Pintura</t>
  </si>
  <si>
    <t>10.1</t>
  </si>
  <si>
    <t>33.10.030</t>
  </si>
  <si>
    <t>Tinta acrílica antimofo em massa, inclusive preparo (faixas com reboco)</t>
  </si>
  <si>
    <t>10.2</t>
  </si>
  <si>
    <t>33.03.770</t>
  </si>
  <si>
    <t xml:space="preserve">Hidrorepelente incolor para fachada à base de silano-siloxano oligomérico disperso em solvente </t>
  </si>
  <si>
    <t>10.3</t>
  </si>
  <si>
    <t>Esmalte a base de água em estrutura metálica (todas tesouras)</t>
  </si>
  <si>
    <t>10.4</t>
  </si>
  <si>
    <t>Esmalte a base de água em estrutura metálica (corrimãos)</t>
  </si>
  <si>
    <t>10.5</t>
  </si>
  <si>
    <t>Esmalte a base de água em estrutura metálica (portão)</t>
  </si>
  <si>
    <t>10.6</t>
  </si>
  <si>
    <t>33.05.330</t>
  </si>
  <si>
    <t>Verniz em superfície de madeira (Beirais sobre a cobertura nova)</t>
  </si>
  <si>
    <t>Subtotal item 10</t>
  </si>
  <si>
    <t xml:space="preserve"> Metais</t>
  </si>
  <si>
    <t>24.03.310</t>
  </si>
  <si>
    <t>Corrimão tubular em aço galvanizado, diâmetro 1 1/2´</t>
  </si>
  <si>
    <t>28.01.030</t>
  </si>
  <si>
    <t>Ferragem completa com maçaneta tipo alavanca, para porta externa com 2 folhas</t>
  </si>
  <si>
    <t>conj.</t>
  </si>
  <si>
    <t>Subtotal item 11</t>
  </si>
  <si>
    <t>Instalação Elétrica e Telefônica</t>
  </si>
  <si>
    <t>12.1</t>
  </si>
  <si>
    <t>39.02.010</t>
  </si>
  <si>
    <t>Cabo de cobre de 1,5 mm², isolamento 750 V - isolação em PVC 70°C</t>
  </si>
  <si>
    <t>12.2</t>
  </si>
  <si>
    <t>12.3</t>
  </si>
  <si>
    <t>12.4</t>
  </si>
  <si>
    <t>39.02.030</t>
  </si>
  <si>
    <t>Cabo de cobre de 6 mm², isolamento 750 V - isolação em PVC 70°C (Tomada trifasica)</t>
  </si>
  <si>
    <t>12.5</t>
  </si>
  <si>
    <t>37.13.650</t>
  </si>
  <si>
    <t>Disjuntor termomagnético, tripolar 220/380 V, corrente de 10 A até 50 A</t>
  </si>
  <si>
    <t>12.6</t>
  </si>
  <si>
    <t>38.15.010</t>
  </si>
  <si>
    <t>Eletroduto metálico flexível com capa em PVC de 3/4´</t>
  </si>
  <si>
    <t>12.7</t>
  </si>
  <si>
    <t>37.13.630</t>
  </si>
  <si>
    <t>Disjuntor termomagnético, bipolar 220/380 V, corrente de 10 A até 50 A</t>
  </si>
  <si>
    <t>12.8</t>
  </si>
  <si>
    <t>40.06.040</t>
  </si>
  <si>
    <t>Condulete metálico de 3/4´</t>
  </si>
  <si>
    <t xml:space="preserve">conj. </t>
  </si>
  <si>
    <t>12.9</t>
  </si>
  <si>
    <t>40.02.600</t>
  </si>
  <si>
    <t>Caixa de passagem em alumínio fundido à prova de tempo, 100 x 100 mm</t>
  </si>
  <si>
    <t>12.10</t>
  </si>
  <si>
    <t>40.05.020</t>
  </si>
  <si>
    <t>Interruptor com 1 tecla simples e placa</t>
  </si>
  <si>
    <t>12.11</t>
  </si>
  <si>
    <t>40.04.450</t>
  </si>
  <si>
    <t>Tomada 2P+T de 10 A - 250 V, completa</t>
  </si>
  <si>
    <t>12.12</t>
  </si>
  <si>
    <t>12.13</t>
  </si>
  <si>
    <t>und.</t>
  </si>
  <si>
    <t>12.14</t>
  </si>
  <si>
    <t>38.07.310</t>
  </si>
  <si>
    <t>Perfilado perfurado 38 x 76 mm em chapa 14 pré zincada, com acessórios</t>
  </si>
  <si>
    <t>12.15</t>
  </si>
  <si>
    <t>41.14.180</t>
  </si>
  <si>
    <t>Luminária industrial de sobrepor ou pendente com refletor em acrílico para 1 lâmpada multivapor metálico elipsoidal de 250/400W - Instalação de luminárias pendentes</t>
  </si>
  <si>
    <t>12.16</t>
  </si>
  <si>
    <t>41.02.580</t>
  </si>
  <si>
    <t>Lâmpada LED 13,5W, com base E-27, 1400 até 1510lm (pendentes)</t>
  </si>
  <si>
    <t>12.17</t>
  </si>
  <si>
    <t>41.13.102</t>
  </si>
  <si>
    <t>Luminária blindada tipo arandela de 45º e 90º, para lâmpada LED</t>
  </si>
  <si>
    <t>Lâmpada LED 13,5W, com base E-27, 1400 até 1510lm (arandelas)</t>
  </si>
  <si>
    <t>Subtotal item 12</t>
  </si>
  <si>
    <t>Instalação Hidrosanitária</t>
  </si>
  <si>
    <t>13.1</t>
  </si>
  <si>
    <t>46.03.060</t>
  </si>
  <si>
    <t xml:space="preserve">Tubo de PVC rígido PxB com virola e anel de borracha, linha esgoto série reforçada ´R´. DN=150 mm, inclusive conexões (saída dos cond. Internos)
 </t>
  </si>
  <si>
    <t>13.2</t>
  </si>
  <si>
    <t>13.4</t>
  </si>
  <si>
    <t>46.01.050</t>
  </si>
  <si>
    <t>13.5</t>
  </si>
  <si>
    <t>13.6</t>
  </si>
  <si>
    <t>43.10.230</t>
  </si>
  <si>
    <t>13.7</t>
  </si>
  <si>
    <t>43.12.500</t>
  </si>
  <si>
    <t>13.8</t>
  </si>
  <si>
    <t>08.05.010</t>
  </si>
  <si>
    <t>13.9</t>
  </si>
  <si>
    <t>40.20.100</t>
  </si>
  <si>
    <t>13.10</t>
  </si>
  <si>
    <t>44.06.200</t>
  </si>
  <si>
    <t>Tanque em aço inoxidável</t>
  </si>
  <si>
    <t>13.11</t>
  </si>
  <si>
    <t>15.03.150</t>
  </si>
  <si>
    <t>Fornecimento e montagem de estrutuara metálica em perfil metalon, sem pintura (tampa cx d'agua)</t>
  </si>
  <si>
    <t>16.12.050</t>
  </si>
  <si>
    <t>Telhamento em chapa de aço pré-pintada com epóxi e poliéster, perfil trapezoidal, com espessura de 0,80 mm e altura de 100 mm (tampa da caixa d'agua)</t>
  </si>
  <si>
    <t>Subtotal item 13</t>
  </si>
  <si>
    <t>Incêndio e Sinalização</t>
  </si>
  <si>
    <t>14.1</t>
  </si>
  <si>
    <t>50.10.100</t>
  </si>
  <si>
    <t>Extintor manual de água pressurizada - capacidade de 10 litros</t>
  </si>
  <si>
    <t>14.2</t>
  </si>
  <si>
    <t>50.10.110</t>
  </si>
  <si>
    <t>Extintor manual de pó químico seco ABC - capacidade de 4 kg</t>
  </si>
  <si>
    <t>14.3</t>
  </si>
  <si>
    <t>50.05.260</t>
  </si>
  <si>
    <t>Bloco autônomo de iluminação de emergência com autonomia mínima de 1 hora, equipado com 2 lâmpadas de 11 W</t>
  </si>
  <si>
    <t>14.4</t>
  </si>
  <si>
    <t>50.05.080</t>
  </si>
  <si>
    <t>Luminária para unidade centralizada de sobrepor completa com lâmpada fluorescente compacta de 15 W</t>
  </si>
  <si>
    <t>30.04.100</t>
  </si>
  <si>
    <t>Piso tátil de concreto, alerta / direcional, intertravado, espessura de 6 cm, com rejunte em areia</t>
  </si>
  <si>
    <t>FDE</t>
  </si>
  <si>
    <t>09.05.088</t>
  </si>
  <si>
    <t>QUADRO COMANDO PARA BOMBA DE INCENDIO TRIFASICO DE 7,5 HP</t>
  </si>
  <si>
    <t>50.05.210</t>
  </si>
  <si>
    <t>DETECTOR TERMOVELOCIMÉTRICO ENDEREÇÁVEL COM BASE ENDEREÇÁVEL</t>
  </si>
  <si>
    <t>50.05.430</t>
  </si>
  <si>
    <t>DETECTOR ÓPTICO DE FUMAÇA COM BASE ENDEREÇÁVEL</t>
  </si>
  <si>
    <t>50.05.230</t>
  </si>
  <si>
    <t>SIRENE AUDIOVISUAL TIPO ENDEREÇÁVEL</t>
  </si>
  <si>
    <t>46.07.080</t>
  </si>
  <si>
    <t>TUBO GALVANIZADO DN= 3´, INCLUSIVE CONEXÕES</t>
  </si>
  <si>
    <t>46.07.090</t>
  </si>
  <si>
    <t>TUBO GALVANIZADO DN= 4´, INCLUSIVE CONEXÕES</t>
  </si>
  <si>
    <t>47.01.080</t>
  </si>
  <si>
    <t>REGISTRO DE GAVETA EM LATÃO FUNDIDO SEM ACABAMENTO, DN= 3´</t>
  </si>
  <si>
    <t>08.08.012</t>
  </si>
  <si>
    <t>REGISTRO DE RECALQUE NO PASSEIO (RR-01)</t>
  </si>
  <si>
    <t>38.07.340</t>
  </si>
  <si>
    <t>PERFILADO LISO 38 X 38 MM - COM ACESSÓRIOS</t>
  </si>
  <si>
    <t>Subtotal item 14</t>
  </si>
  <si>
    <t>Limpeza</t>
  </si>
  <si>
    <t>15.1</t>
  </si>
  <si>
    <t>55.01.020</t>
  </si>
  <si>
    <t>Limpeza geral da obra</t>
  </si>
  <si>
    <t>Subtotal item 15</t>
  </si>
  <si>
    <t>Total</t>
  </si>
  <si>
    <t xml:space="preserve">Ampliação da Gare do Trem Turístico </t>
  </si>
  <si>
    <t>Sub Total item 1</t>
  </si>
  <si>
    <t>Sub Total item 2</t>
  </si>
  <si>
    <t>Sub Total item 3</t>
  </si>
  <si>
    <t>Sub Total item 4</t>
  </si>
  <si>
    <t>Sub Total item 5</t>
  </si>
  <si>
    <t>Sub Total item 6</t>
  </si>
  <si>
    <t>Sub Total item 7</t>
  </si>
  <si>
    <t>Sub Total item 8</t>
  </si>
  <si>
    <t xml:space="preserve">Divisórias </t>
  </si>
  <si>
    <t>Paredes Retas divisórias com DryWall</t>
  </si>
  <si>
    <t>14.30.880</t>
  </si>
  <si>
    <t xml:space="preserve">Divisória em placas duplas de gesso acartonado, resistência ao fogo 60 minutos, espessura 120/70mm - 2ST / 2RU (paredes retas)
</t>
  </si>
  <si>
    <t>Paredes curvas de madeira com expositores</t>
  </si>
  <si>
    <t>23.08.010</t>
  </si>
  <si>
    <t>Estrado em madeira (dioramas e maquetes)</t>
  </si>
  <si>
    <t>21.01.160</t>
  </si>
  <si>
    <t xml:space="preserve">Revestimento em grama sintética, com espessura de 20 a 32 mm </t>
  </si>
  <si>
    <t>20.01.040</t>
  </si>
  <si>
    <t>Lambril em madeira macho/fêmea tarugado, exceto pinus (maquetes)</t>
  </si>
  <si>
    <t>23.08.060</t>
  </si>
  <si>
    <t>Tampo sob medida em compensado, revestido na 
face superior em laminado fenólico melamínico (mesa para o Staff)</t>
  </si>
  <si>
    <t>23.08.080</t>
  </si>
  <si>
    <t>Prateleira sob medida em compensado, revestida 
nas duas faces em laminado fenólico melamínico (nicho)</t>
  </si>
  <si>
    <t>25.01.080</t>
  </si>
  <si>
    <t>Caixilho em alumínio de correr, sob medida</t>
  </si>
  <si>
    <t>26.01.168</t>
  </si>
  <si>
    <t>Vidro liso laminado incolor de 6 mm (nicho)</t>
  </si>
  <si>
    <t xml:space="preserve">Estrutura, forro e cobertura </t>
  </si>
  <si>
    <t>15.03.030</t>
  </si>
  <si>
    <t>Fornecimento e montagem de estrutura em aço ASTM-A36, sem pintura (maquete)</t>
  </si>
  <si>
    <t>15.03.090</t>
  </si>
  <si>
    <t>Montagem de estrutura metálica em aço, sem pintura (maquete)</t>
  </si>
  <si>
    <t>16.02.045</t>
  </si>
  <si>
    <t>Telha de barro colonial/paulista (maquete)</t>
  </si>
  <si>
    <t>16.02.230</t>
  </si>
  <si>
    <t>Cumeeira de barro emboçado tipos: plan, romana, italiana, francesa e paulistinha</t>
  </si>
  <si>
    <t>22.01.080</t>
  </si>
  <si>
    <t>Forro xadrez em ripas de angelim-vermelho/bacuri/maçaranduba tarugado (comércio)</t>
  </si>
  <si>
    <t>22.02.030</t>
  </si>
  <si>
    <t>Iluminação e energia</t>
  </si>
  <si>
    <t>41.14.670</t>
  </si>
  <si>
    <t>Luminária triangular de sobrepor tipo arandela para fluorescente compacta de 15/20/23W</t>
  </si>
  <si>
    <t>41.15.170</t>
  </si>
  <si>
    <t>Luminária redonda de embutir, com foco orientável e acessório antiofuscante, para 1 lâmpada dicroica de 50 W</t>
  </si>
  <si>
    <t>41.20.020</t>
  </si>
  <si>
    <t>Recolocação de aparelhos de iluminação ou projetores fixos em teto, piso ou parede</t>
  </si>
  <si>
    <t>41.12.080</t>
  </si>
  <si>
    <t>Projetor retangular fechado, para lâmpada vapor metálico ou vapor de sódio de 250 W/400 W</t>
  </si>
  <si>
    <t>Eletroduto corrugado em polietileno de alta densidade, DN= 30 mm, com acessórios</t>
  </si>
  <si>
    <t xml:space="preserve">40.04.460 </t>
  </si>
  <si>
    <t>Tomada 2P+T de 20 A - 250 V, completa</t>
  </si>
  <si>
    <t>15.01.010</t>
  </si>
  <si>
    <t>Estrutura de madeira tesourada para telha de barro - vãos até 7,00 m</t>
  </si>
  <si>
    <t>Comunicação Visual</t>
  </si>
  <si>
    <t>97.02.190</t>
  </si>
  <si>
    <t>cotação</t>
  </si>
  <si>
    <t>33.03.350</t>
  </si>
  <si>
    <t>Pintura especial em esmalte para lousa cor verde (sala educação)</t>
  </si>
  <si>
    <t>Verniz em superfície de madeira</t>
  </si>
  <si>
    <t>33.10.120</t>
  </si>
  <si>
    <t>Proteção passiva contra incêndio com tinta intumescente, tempo requerido de resistência ao fogo TRRF = 60 minutos - aplicação em painéis de gesso acartonado (somente forro de gesso acartonado)</t>
  </si>
  <si>
    <t>23.20.120</t>
  </si>
  <si>
    <t>Guarnição de madeira (moldura para a lousa)</t>
  </si>
  <si>
    <t>23.08.020</t>
  </si>
  <si>
    <t>Faixa/batedor de proteção em madeira aparelhada natural de 10 x 2,5 cm (lousa)</t>
  </si>
  <si>
    <t>33.05.010</t>
  </si>
  <si>
    <t xml:space="preserve">Proteção das peças de madeira -  Verniz fungicida para madeira  </t>
  </si>
  <si>
    <t>23.08.110</t>
  </si>
  <si>
    <t>38.06.040</t>
  </si>
  <si>
    <t>Eletroduto galvanizado a quente conforme NBR5598 - 3/4´ com acessórios (p/ botoeiras)</t>
  </si>
  <si>
    <t>Eletroduto de PVC rígido roscável de 3/4´ - com acessórios (da casa de bombas para o museu)</t>
  </si>
  <si>
    <t>Exposição do Museu Histórico e Ferroviário</t>
  </si>
  <si>
    <t>Total com BDI - Exposição do Museu Histórico e Ferroviário</t>
  </si>
  <si>
    <t xml:space="preserve">Total </t>
  </si>
  <si>
    <t>Total com BDI - Ampliação da Gare do Trem Turístico</t>
  </si>
  <si>
    <t>Instalação de Combate a Incêndio</t>
  </si>
  <si>
    <t>Emboço comum ( Reboco Faixas de pilares e vigas)</t>
  </si>
  <si>
    <t>Emboço comum (Reboco Sisterna)</t>
  </si>
  <si>
    <t>8.11</t>
  </si>
  <si>
    <t>13.3</t>
  </si>
  <si>
    <t>TOTAL GERAL DO OBJETO</t>
  </si>
  <si>
    <t>16.1</t>
  </si>
  <si>
    <t>Subtotal item 16</t>
  </si>
  <si>
    <t>Paisagismo</t>
  </si>
  <si>
    <t>Plantio de grama batatais em placas (jardins e canteiros)</t>
  </si>
  <si>
    <t>34.02.040</t>
  </si>
  <si>
    <t>Arbusto Azaléa - h= 0,60 a 0,80 m</t>
  </si>
  <si>
    <t>34.03.020</t>
  </si>
  <si>
    <t>Projetor LED modular de 150 a 200W, eficiência mínima de 125 l/W, para uso externo</t>
  </si>
  <si>
    <t>41.12.210</t>
  </si>
  <si>
    <t>Eletroduto galvanizado a quente conforme NBR5598 - 1/2´ com acessórios</t>
  </si>
  <si>
    <t>38.06.020</t>
  </si>
  <si>
    <t>Cabo de cobre flexível de 1,5 mm², isolamento 0,6/1 kV - isolação HEPR 90°C - baixa emissão de fumaça e gases</t>
  </si>
  <si>
    <t>39.26.010</t>
  </si>
  <si>
    <t>Cabo de cobre flexível de 4 mm², isolamento 0,6/1 kV -  isolação HEPR 90°C -</t>
  </si>
  <si>
    <t>15.2</t>
  </si>
  <si>
    <t>15.3</t>
  </si>
  <si>
    <t>Limpeza e regularização de áreas para ajardinamento (jardins e canteiros)</t>
  </si>
  <si>
    <t>34.01.020</t>
  </si>
  <si>
    <t>Limpeza mecanizada do terreno, inclusive troncos até 15 cm de diâmetro, com caminhão à disposição dentro e fora da obra, com transporte no raio de até 1 km</t>
  </si>
  <si>
    <t>02.09.040</t>
  </si>
  <si>
    <t>15.4</t>
  </si>
  <si>
    <r>
      <rPr>
        <sz val="12"/>
        <color theme="1"/>
        <rFont val="Arial"/>
        <family val="2"/>
      </rPr>
      <t>Obejto:</t>
    </r>
    <r>
      <rPr>
        <b/>
        <sz val="12"/>
        <color theme="1"/>
        <rFont val="Arial"/>
        <family val="2"/>
      </rPr>
      <t xml:space="preserve"> Adequação do Museu Ferroviário José Giorgi e Ampliação da Gare do Trem Turístico e Cultural Moita Bonita - DADETUR 2021</t>
    </r>
  </si>
  <si>
    <t>14.5</t>
  </si>
  <si>
    <t>Data: Julho/2021</t>
  </si>
  <si>
    <t>Calha, rufo, afins em chapa galvanizada nº 24 - corte 0,50 m - Calhas (troca da calha)</t>
  </si>
  <si>
    <t>43.10.250</t>
  </si>
  <si>
    <t>CDHU 182</t>
  </si>
  <si>
    <t>Acionador manual quebra-vidro endereçável</t>
  </si>
  <si>
    <t>50.05.450</t>
  </si>
  <si>
    <t>Conjunto motor-bomba (centrífuga) 15 cv, monoestágio, Hman= 30 a 60 mca, Q= 82 a 20 m³/h</t>
  </si>
  <si>
    <t>Cálculo</t>
  </si>
  <si>
    <t>Corrimão tubular em aço galvanizado, diâmetro 1 1/2´ -(rampas)</t>
  </si>
  <si>
    <t>Concreto usinado, fck = 25 MPa - para bombeamento (Cisterna)</t>
  </si>
  <si>
    <t>Alvenaria de elevação de 1 tijolo maciço comum (Cisterna)</t>
  </si>
  <si>
    <t>Tubo de PVC rígido soldável marrom, DN= 50 mm,(1 1/2´),inclus. conexões (saída Cist.)</t>
  </si>
  <si>
    <t>Conjunto motor-bomba (centrífuga) 2 cv, monoestágio, Hman= 12 a 27 mca, Q= 25 a 8 m³/h (Cisterna)</t>
  </si>
  <si>
    <t>Geomembrana em polietileno de alta densidade PEAD de 1 mm (Cisterna)</t>
  </si>
  <si>
    <t>Botoeira de comando liga-desliga, sem sinalização (Cisterna)</t>
  </si>
  <si>
    <t>Registro de gaveta em latão fundido sem acabamento, DN= 1 1/2´ (Cisterna)</t>
  </si>
  <si>
    <t>Filtro de areia com carga de areia filtrante, vazão de 16,9 m³/h (Cisterna)</t>
  </si>
  <si>
    <t>Memória de Cálculo</t>
  </si>
  <si>
    <t>Caixilho em alumínio anodizado fixo</t>
  </si>
  <si>
    <t>25.01.400</t>
  </si>
  <si>
    <t>26.01.040</t>
  </si>
  <si>
    <t>Vidro liso transparente de 4 mm</t>
  </si>
  <si>
    <t>Chapa em policarbonato compacta, cristal, espessura de 6 mm (maquetes)</t>
  </si>
  <si>
    <t>27.02.011</t>
  </si>
  <si>
    <t>Fornecimento e montagem de estrutura metálica em perfil metalon, sem pintura</t>
  </si>
  <si>
    <t>Cabo de cobre flexível de 1,5 mm², isolamento 0,6/1 kV - isolação HEPR 90°C - baixa emissão de fumaça e gases (retorno para iluminação dos painéis e forro)</t>
  </si>
  <si>
    <t>3,00*1,20= 3,60m²</t>
  </si>
  <si>
    <t>Painel em compensado naval, espessura de 25 mm (fundo dos dioramas - 8,10X2,80)</t>
  </si>
  <si>
    <t>Painel em compensado naval, espessura de 25 mm (fundo dos dioramas - 8,0X2,80)</t>
  </si>
  <si>
    <t>Caixilho em alumínio de correr, sob medida (nichos na parede curva)</t>
  </si>
  <si>
    <t>Vidro liso transparente de 4 mm (nichos na parede curva)</t>
  </si>
  <si>
    <t>Vidro liso laminado incolor de 6 mm (nicho ex abertura)</t>
  </si>
  <si>
    <t>Prateleira sob medida em compensado, revestida 
nas duas faces em laminado fenólico melamínico (nicho ex abertura)</t>
  </si>
  <si>
    <t>Caixilho em alumínio anodizado fixo (nicho ex abertura)</t>
  </si>
  <si>
    <t>Prefeitura Municipal da Estância Turistica de Paraguaçu Paulista</t>
  </si>
  <si>
    <t>CRONOGRAMA FÍSICO FINANCEIRO</t>
  </si>
  <si>
    <t>CONVÊNIO: SECRETARIA DE TURISMO – DEPARTAMENTO DE APOIO AO DESENVOLVIMENTO DAS ESTÂNCIAS – DADETUR 2021</t>
  </si>
  <si>
    <t>DATA: Julho/2021</t>
  </si>
  <si>
    <t>MÊS</t>
  </si>
  <si>
    <t>MÊS 1</t>
  </si>
  <si>
    <t>MÊS 2</t>
  </si>
  <si>
    <t>MÊS 3</t>
  </si>
  <si>
    <t>MÊS 4</t>
  </si>
  <si>
    <t>MÊS 5</t>
  </si>
  <si>
    <t>MÊS 6</t>
  </si>
  <si>
    <t>TOTAL</t>
  </si>
  <si>
    <t>SERVIÇOS</t>
  </si>
  <si>
    <t>1.0</t>
  </si>
  <si>
    <t>SERVIÇOS PRELIMINARES</t>
  </si>
  <si>
    <t>2.0</t>
  </si>
  <si>
    <t>INFRAESTRUTURA</t>
  </si>
  <si>
    <t>3.0</t>
  </si>
  <si>
    <t>SUPRAESTRUTURA</t>
  </si>
  <si>
    <t>4.0</t>
  </si>
  <si>
    <t>ALVENARIA</t>
  </si>
  <si>
    <t>5.0</t>
  </si>
  <si>
    <t>COBERTURA</t>
  </si>
  <si>
    <t>6.0</t>
  </si>
  <si>
    <t>7.0</t>
  </si>
  <si>
    <t>REVESTIMENTO</t>
  </si>
  <si>
    <t>8.0</t>
  </si>
  <si>
    <t>PISO INTERNO</t>
  </si>
  <si>
    <t>9.0</t>
  </si>
  <si>
    <t>PISO EXTERNO</t>
  </si>
  <si>
    <t>10.0</t>
  </si>
  <si>
    <t>ABERTURAS</t>
  </si>
  <si>
    <t>11.0</t>
  </si>
  <si>
    <t>PINTURA</t>
  </si>
  <si>
    <t>12.0</t>
  </si>
  <si>
    <t>13.0</t>
  </si>
  <si>
    <t>INSTALAÇÃO ELÉTRICA E TELEFÔNICA</t>
  </si>
  <si>
    <t>14.0</t>
  </si>
  <si>
    <t>INSTALAÇÃO HIDROSSANITÁRIA</t>
  </si>
  <si>
    <t>15.0</t>
  </si>
  <si>
    <t>INCÊNDIO E SINALIZAÇÃO</t>
  </si>
  <si>
    <t>16.0</t>
  </si>
  <si>
    <t>LIMPEZA</t>
  </si>
  <si>
    <t>TOTAL (%)</t>
  </si>
  <si>
    <t>TOTAL COM BDI (R$)</t>
  </si>
  <si>
    <t>PRAZO PROPOSTO</t>
  </si>
  <si>
    <t>ITEM</t>
  </si>
  <si>
    <t>UNIDADE</t>
  </si>
  <si>
    <t>%</t>
  </si>
  <si>
    <t>R$</t>
  </si>
  <si>
    <t>METAIS</t>
  </si>
  <si>
    <t>DIVISÓRIAS</t>
  </si>
  <si>
    <t>Expositores</t>
  </si>
  <si>
    <t xml:space="preserve"> Forro e cobertura </t>
  </si>
  <si>
    <t>Estrutura de madeira tesourada para telha de barro - vãos até 7,00 m (mont. Casinha)</t>
  </si>
  <si>
    <t>7.3</t>
  </si>
  <si>
    <t>7.4</t>
  </si>
  <si>
    <t>7.5</t>
  </si>
  <si>
    <t>7.6</t>
  </si>
  <si>
    <t>8.12</t>
  </si>
  <si>
    <t>8.13</t>
  </si>
  <si>
    <t>8.14</t>
  </si>
  <si>
    <t>8.15</t>
  </si>
  <si>
    <t>8.16</t>
  </si>
  <si>
    <t>8.17</t>
  </si>
  <si>
    <t>8.18</t>
  </si>
  <si>
    <t>Divisória em placas duplas de gesso acartonado, resistência ao fogo 60 minutos, espessura 120/70mm - 2ST / 2RU (paredes retas)</t>
  </si>
  <si>
    <t>AI-01 ABRIGO PARA BOMBA DE INCENDIO</t>
  </si>
  <si>
    <t>08.08.069</t>
  </si>
  <si>
    <t>Caixilhos e vidros</t>
  </si>
  <si>
    <t>Caixilhos e Vidros</t>
  </si>
  <si>
    <t>EXPOSITORES</t>
  </si>
  <si>
    <t>CAIXILHOS E VIDROS</t>
  </si>
  <si>
    <t>ESTRUTURA, FORRO E COBERTURA</t>
  </si>
  <si>
    <t>ILUMINAÇÃO E ENERGIA</t>
  </si>
  <si>
    <t>COMUNICAÇÃO VISUAL</t>
  </si>
  <si>
    <t>INSTALAÇÃO DE COMBATE A INCENDIOS</t>
  </si>
  <si>
    <t>Alvenaria de elevação de 1 tijolo maciço comum (cisterna)</t>
  </si>
  <si>
    <t>Concreto usinado, fck = 25 MPa - para bombeamento (cisterna)</t>
  </si>
  <si>
    <t>Tubo de PVC rígido soldável marrom, DN= 50 mm,(1 1/2´),inclus. conexões (saída cist.)</t>
  </si>
  <si>
    <t>Conjunto motor-bomba (centrífuga) 2 cv, monoestágio, Hman= 12 a 27 mca, Q= 25 a 8 m³/h (cisterna)</t>
  </si>
  <si>
    <t>Filtro de areia com carga de areia filtrante, vazão de 16,9 m³/h (cisterna)</t>
  </si>
  <si>
    <t>Geomembrana em polietileno de alta densidade PEAD de 1 mm (cisterna)</t>
  </si>
  <si>
    <t>Botoeira de comando liga-desliga, sem sinalização (cisterna)</t>
  </si>
  <si>
    <t>AE-20 ABRIGO E ENTRADA DE ENERGIA (CAIXAS III OU V):BANDEIRANTE/CPFL/ELEKTRO</t>
  </si>
  <si>
    <t>09.02.060</t>
  </si>
  <si>
    <t>Retirada de folha de esquadria em madeira</t>
  </si>
  <si>
    <t>04.08.020</t>
  </si>
  <si>
    <t>8.19</t>
  </si>
  <si>
    <t>8.20</t>
  </si>
  <si>
    <t>Vidro temperado incolor de 10 mm</t>
  </si>
  <si>
    <t>26.02.060</t>
  </si>
  <si>
    <t>Dobradiça inferior para porta de vidro temperado</t>
  </si>
  <si>
    <t>Dobradiça superior para porta de vidro temperado</t>
  </si>
  <si>
    <t>28.20.230</t>
  </si>
  <si>
    <t>28.20.220</t>
  </si>
  <si>
    <t>8.21</t>
  </si>
  <si>
    <t>Barra antipânico para porta dupla com travamentos horizontal e vertical completa, com maçaneta tipo alavanca e chave, para vãos de 1,70 a 2,60 m</t>
  </si>
  <si>
    <t>28.20.850</t>
  </si>
  <si>
    <t>OBJETO: Adequação do Museu Ferroviário José Giorgi e Ampliação da Gare do Trem Turístico e Cultural Moita Bonita - DADETUR 2021</t>
  </si>
  <si>
    <t>LOCAL: Av. Miguel Deliberador nº 337- Pátio da Estação Ferroviária - Centro - Paraguaçu Paulista - SP</t>
  </si>
  <si>
    <t>Local: Av. Miguel Deliberador nº 337- Pátio da Estação Ferroviária - Centro - Paraguaçu Paulista - SP</t>
  </si>
  <si>
    <t>Local: Av. Miguel Deliberador nº 337 - Pátio da Estação Ferroviária - Centro - Paraguaçu Paulista - SP</t>
  </si>
  <si>
    <t xml:space="preserve">                    CAU Nº.: A96375-5</t>
  </si>
  <si>
    <t>Metais</t>
  </si>
  <si>
    <t>Instalação Hidrossanitária</t>
  </si>
  <si>
    <t>Incendio e Sinalização</t>
  </si>
  <si>
    <t>Divisórias</t>
  </si>
  <si>
    <t xml:space="preserve">                 RRTS- 11318738 - 11318496</t>
  </si>
  <si>
    <t>CAU Nº.: A96375-5 -  RRTS- 11318738 - 11318496</t>
  </si>
  <si>
    <t xml:space="preserve"> RRTS- 11318738 - 11318496</t>
  </si>
  <si>
    <t>1.10</t>
  </si>
  <si>
    <t>1.11</t>
  </si>
  <si>
    <t>5.11</t>
  </si>
  <si>
    <t>5.12</t>
  </si>
  <si>
    <t>5.13</t>
  </si>
  <si>
    <t>Cumeeira em chapa de aço pré-pintada com epóxi e poliéster, perfil ondulado, com espessura de 0,50 mm</t>
  </si>
  <si>
    <t>16.12.220</t>
  </si>
  <si>
    <t>Calha, rufo, afins em chapa galvanizada nº 24 - corte 0,50 m</t>
  </si>
  <si>
    <t>11.16.060</t>
  </si>
  <si>
    <t xml:space="preserve">Lançamento e adensamento de concreto ou massa em fundação </t>
  </si>
  <si>
    <t>Forro em painéis de gesso acartonado, espessura de 12,5 mm, fixo (ambientes - educação e sala de estar - entrada e dioramas)</t>
  </si>
  <si>
    <t>Forro em painéis de gesso acartonado, espessura de 12,5 mm, fixo (ambientes - entrada dioramas)</t>
  </si>
  <si>
    <t xml:space="preserve">Monitores - Smart TV LED 43" Full HD TCL 43S6500FS Android, Controle Remoto com Comando de Voz, Google Assistant, HDR, Chromecast Integrado, Bluetooth e HDMI  </t>
  </si>
  <si>
    <t xml:space="preserve">Monitores (telas de TV ) - Smart TV LED 43" Full HD TCL 43S6500FS Android, Controle Remoto com Comando de Voz, Google Assistant, HDR, Chromecast Integrado, Bluetooth e HDMI  </t>
  </si>
  <si>
    <t>13.12</t>
  </si>
  <si>
    <t>13.13</t>
  </si>
  <si>
    <t>Árvore ornamental tipo coqueiro Jerivá - h= 4,00 m</t>
  </si>
  <si>
    <t>34.04.360</t>
  </si>
  <si>
    <t>15.5</t>
  </si>
  <si>
    <t xml:space="preserve">      (-Monitores)</t>
  </si>
  <si>
    <t>15.6</t>
  </si>
  <si>
    <t>Alçapão/tampa em chapa de ferro com porta cadeado</t>
  </si>
  <si>
    <t>24.03.100</t>
  </si>
  <si>
    <t>Torneira curta com rosca para uso geral, em latão fundido cromo, DN= 3/4´ad</t>
  </si>
  <si>
    <t>44.03.400</t>
  </si>
  <si>
    <t>Tubo de PVC rígido soldável marrom, DN= 25 mm, (3/4´), inclusive conexões</t>
  </si>
  <si>
    <t>46.01.020</t>
  </si>
  <si>
    <t>13.14</t>
  </si>
  <si>
    <t>Tubo de PVC rígido branco PxB com virola e anel de borracha, linha esgoto série normal, DN= 50 mm, inclusive conexões</t>
  </si>
  <si>
    <t>46.02.050</t>
  </si>
  <si>
    <t>Escavação mecanizada de valas ou cavas com profundidade de até 2 m</t>
  </si>
  <si>
    <t>07.02.020</t>
  </si>
  <si>
    <t>8.22</t>
  </si>
  <si>
    <t>8.23</t>
  </si>
  <si>
    <t>FDE 2/2021 Desoneradas</t>
  </si>
  <si>
    <t>(3*1,5)+(1,5*1) = 6,00 m²</t>
  </si>
  <si>
    <t>(3,6*4,1)+(1,2*2,2)= 17,40m² - portões PD1 e  PD2</t>
  </si>
  <si>
    <t>8,40+0,65= 9,05m - Corrimão existente na plataforma na área a ser ampliada</t>
  </si>
  <si>
    <t>1 PARA CADA 3 MESES</t>
  </si>
  <si>
    <t>Tapume fixo em painel OSB - espessura 10mm</t>
  </si>
  <si>
    <t>02.03.260</t>
  </si>
  <si>
    <t>(0,7*0,7*0,35)*13= 2,23m³ para as sapatas isoladas conforme projeto</t>
  </si>
  <si>
    <t>2,23*70= 156,10kg para malha do fundo das sapatas</t>
  </si>
  <si>
    <t>2.11</t>
  </si>
  <si>
    <t>Forma em madeira comum para fundação</t>
  </si>
  <si>
    <t>09.01.020</t>
  </si>
  <si>
    <t>Concreto usinado, fck = 25 MPa - para bombeamento (Pilares de concreto)</t>
  </si>
  <si>
    <t xml:space="preserve">Armadura em barra de aço CA-50 (A ou B) fyk= 500 Mpa  (Pilares concreto) </t>
  </si>
  <si>
    <t>Armadura em barra de aço CA-60 (A ou B) fyk= 600 Mpa  (Pilares concreto)</t>
  </si>
  <si>
    <t>8,8+0,65*0,8= 9,32m² - para ampliação da plataforma na região do depósito de lenha</t>
  </si>
  <si>
    <t>(0,2*0,2*1,5*6)+(0,2*0,2*6,8)+(2,2*0,06*2)=0,90m³ - pilares, vigas, fundo e cobertura da ciscerta</t>
  </si>
  <si>
    <t>0,9*90*0,8= 64,80kg para a estrutura de concreto armado da cisterna</t>
  </si>
  <si>
    <t>0,9*90*0,2=16,20kg para a estrutura de concreto armado da cisterna</t>
  </si>
  <si>
    <t>(1,5*4*1,5)+(1,5*1,5)+(4,6*1,5)= 25,52m² - para todas as paredes internas e externas da cisterma</t>
  </si>
  <si>
    <t>(1,2*4*1,5)+(1,2*1,2)= 8,64m² somente a parte molhada da cisterna - piso e parede</t>
  </si>
  <si>
    <t>Ao longo do beiral para captação de águas pluviais</t>
  </si>
  <si>
    <t>Para toda a coberura da gare conforme projeto junto à parede do museu</t>
  </si>
  <si>
    <t xml:space="preserve"> 3,66*5= 18,30m - para condutores verticais com perfil retangular para captação de águas pluviais</t>
  </si>
  <si>
    <t xml:space="preserve">Para toda a coberura da gare conforme projeto </t>
  </si>
  <si>
    <t>((7,65+1,2)*1,5)+(1,2*1,2)= 14,72m² para as paredes e fundo da cisterna</t>
  </si>
  <si>
    <t>((7,65+1,2)*1,5)+(1,2*1,2)=14,72m² - para revestimento da cisterna</t>
  </si>
  <si>
    <t>6,5*4*0,30*0,20=1,56m³ para as laterais das rampas de acesso ao portão da área de lenha</t>
  </si>
  <si>
    <t>(8,4*0,65)*0,08= 0,44m³ para a ampliação da plataforma - depósito de lenha</t>
  </si>
  <si>
    <t>9,05*0,10=0,91m² para moldura no piso do depósito de lenha seguindo o existente</t>
  </si>
  <si>
    <t>Chapisco (muro de arrimo)</t>
  </si>
  <si>
    <t>Emboço comum (muro de arrimo)</t>
  </si>
  <si>
    <t>(10,32*6,5)*0,3= 20,12m³ - para as laterais das rampas de acesso ao portão da área de lenha</t>
  </si>
  <si>
    <t>3*16=48,00m - para as laterais das rampas de acesso ao portão da área de lenha</t>
  </si>
  <si>
    <t>(0,2*0,2*0,5)*16=0,32m³ - para as laterais das rampas de acesso ao portão da área de lenha</t>
  </si>
  <si>
    <t>(0,2*0,25)*(6,5*4)=1,30m³ - para as vigas laterais das rampas de acesso ao portão da área de lenha</t>
  </si>
  <si>
    <t>1,3*90*0,8= 93,60kg - para a estrutura dos muros de arrimo das rampas</t>
  </si>
  <si>
    <t>1,3*90*0,2 = 23,40kg - para a estrutura dos muros de arrimo das rampas</t>
  </si>
  <si>
    <t>0,32+1,3=1,62m³ - para a estrutura dos muros de arrimo das rampas</t>
  </si>
  <si>
    <t>(6,5*0,25*4)+(0,32)= 6,82m² - para a estrutura dos muros de arrimo das rampas</t>
  </si>
  <si>
    <t>((251,36*0,03)+((6,5*4*0,2)*0,03))=7,70m³ - para os fundos das estuturas das rampas e pavimentação de lajotas de concreto</t>
  </si>
  <si>
    <t>Alvenaria de elevação de 1 tijolo maciço comum (muro de arrimo)</t>
  </si>
  <si>
    <t>(0,60*0,60)+(0,75*0,75)=0,92m² - portilhola de acesso à cirterna e casa de máquinas</t>
  </si>
  <si>
    <t>1,5*2,2=3,30m² - para o depósito de lenha</t>
  </si>
  <si>
    <t>((9,7*4)+(8,4+0,65))*0,12*2=11,48m² corrimãos das rampas e depósito de lenha</t>
  </si>
  <si>
    <t>1,5*2,2= 3,30m² para o portão do depósito de lenha</t>
  </si>
  <si>
    <t>(6,5*4)+(0,65)=26,65m - para as rampas de acesso ao depóstio de lenhas e um pedaço da plataforma</t>
  </si>
  <si>
    <t>Para o portão de duas folhas do depósito de lenha</t>
  </si>
  <si>
    <t>(24,95+3,75+2,8)= 31,50m para retorno da iluminação da gare e arandelas externas</t>
  </si>
  <si>
    <t>Para o QDL já existente</t>
  </si>
  <si>
    <t>Para conexões do eletroduto</t>
  </si>
  <si>
    <t>Para as luminárias pendendes e arandelas</t>
  </si>
  <si>
    <t>Para energia das tomadas comuns</t>
  </si>
  <si>
    <t>Para as luminárias pendentes</t>
  </si>
  <si>
    <t>Para cada pano entre as tesouras</t>
  </si>
  <si>
    <t>Sobre os portões de entrada conforme projeto</t>
  </si>
  <si>
    <t>Para as arandelas</t>
  </si>
  <si>
    <t>(8*2)+(5,25*3)+16,5= 48,30m</t>
  </si>
  <si>
    <t>Registro de gaveta em latão fundido sem acabamento, DN= 2´  (cisterna)</t>
  </si>
  <si>
    <t xml:space="preserve">47.01.060 </t>
  </si>
  <si>
    <t>para saída e entrada da cisterna</t>
  </si>
  <si>
    <t>Para bombeamento das águas pluviais da cisterna para ser usada no abastecimento da locomotova e limpeza</t>
  </si>
  <si>
    <t>1,42+1,1+5,83+13,15 = 21,50m - para saída e entrada da cisterna</t>
  </si>
  <si>
    <t>Para filtragem das águas da entrada da cisterna</t>
  </si>
  <si>
    <t>Para a entrada do filtro da cisterna</t>
  </si>
  <si>
    <t xml:space="preserve"> Para acionamento da bomba da cisterna</t>
  </si>
  <si>
    <t>Para a poio da manutenção da locomotiva posicionado de acordo com o projeto</t>
  </si>
  <si>
    <t>Para o  tanque</t>
  </si>
  <si>
    <t>Para a tamoa da caixa dagua</t>
  </si>
  <si>
    <t>0,80*0,80=0,64m² - portinhola/tampa instalada na cobertura da caixa dagua</t>
  </si>
  <si>
    <t>Tomada 3P+T de 63 A, blindada industrial de embutir</t>
  </si>
  <si>
    <t>40.04.146</t>
  </si>
  <si>
    <t>12.18</t>
  </si>
  <si>
    <t>Para a tomada trifásica do compressor</t>
  </si>
  <si>
    <t>6,75+2= 8,75 m - Para alimentação do tanque</t>
  </si>
  <si>
    <t>Para o espaço junto à saída das rampas de acesso à oficina e depósito de lenhas indicado no projeto</t>
  </si>
  <si>
    <t>Para o passeio junto ao canteiro indicado no projeto</t>
  </si>
  <si>
    <t>Área construída da ampliação da gare</t>
  </si>
  <si>
    <t>Painel em compensado naval, espessura de 25 mm (paredes duplas curvas para expositores)</t>
  </si>
  <si>
    <t>7.7</t>
  </si>
  <si>
    <t>(9,72*1,55)+(1,25*1,25)+(1,2*2,2)= 19,27m² para o piso elevado da área dos dioamas na entrada</t>
  </si>
  <si>
    <t>9,72*1,55= 15,07m²  para o piso elevado da área dos dioamas na entrada</t>
  </si>
  <si>
    <t>1,95*0,6= 1,17m²</t>
  </si>
  <si>
    <t>Para a base da lousa</t>
  </si>
  <si>
    <t>(3+3+1,2+1,2)= 8,40m - para a moldura da louza</t>
  </si>
  <si>
    <t>3,65*2,8*1,007= 10,29m² para a montagem da cobertura da casa dos pioneiros</t>
  </si>
  <si>
    <t>8,0*2,80= 22,40m² - painel no fundo da área dos dioramas para esconder a porta de madeira existente e apoio de foto</t>
  </si>
  <si>
    <t>2,40*0,25*6 = 3,60m² para o nicho indicado no projeto</t>
  </si>
  <si>
    <t>(0,15*4*3,2*0,003*7850*2)+(2,35*0,25*0,003*7850*3)+(2,5*0,15*0,003*7850*2)+(2,5*0,15*0,003*7850*6)=202,59kg para a estrutura da cobertura da maquete</t>
  </si>
  <si>
    <t>(2,35*0,15*0,003*7850*6)= 49,81kg para a estrutura da cobertura da maquete</t>
  </si>
  <si>
    <t>(1,7*2*2,8)+(5,4*2,8)+((1,85*2)+(2,4*2)+(2,4*2)+(4*2)+(3,47*2)+2,2+1,95+1,25)*2,4= 105,38m² - para as divisórias de paredes retas conforme projeto</t>
  </si>
  <si>
    <t xml:space="preserve">(3,7+4,5+2,78+3,35)*2,4*2=68,78m² para as divisórias curvas duplas </t>
  </si>
  <si>
    <t>202,59+49,81= 252,40kg - Montagem da cobertura das maquetes - estação</t>
  </si>
  <si>
    <t>Para o comprimento da cobertura da maquete</t>
  </si>
  <si>
    <t>3,80*2,05=7,79m² para a área de exposições (comercio)</t>
  </si>
  <si>
    <t>2,28*1,97*1,077= 4,84m²</t>
  </si>
  <si>
    <t>2,4*2,2= 5,28m² - para o nicho das prateleiras conforme projeto</t>
  </si>
  <si>
    <t>2,4*2,2= 5,28m² -  para o nicho das prateleiras conforme projeto</t>
  </si>
  <si>
    <t>(1,25*1,25)+(4*0,3)= 2,76m² para a proteção da maquete menor</t>
  </si>
  <si>
    <t>Área da gare = 23,63*8= 189,06m²</t>
  </si>
  <si>
    <t>Junto ao depósito de lenha</t>
  </si>
  <si>
    <t>Próximo a saída do portão de duas folhas do depósito de lenha</t>
  </si>
  <si>
    <t>Luminária de direcionamento para a saída fixada na plataforma conforme projeto</t>
  </si>
  <si>
    <t>0,25+0,50= 75m² nos acessos</t>
  </si>
  <si>
    <t>Para os ambientes - pioneiros - comarca - sala de estar - comércio - maquetes - mesa do staff</t>
  </si>
  <si>
    <t>Reposicionar os projetores existentes no trilhos para os expositores e peças</t>
  </si>
  <si>
    <t>(3,40*3,50)+(3,30*3,80)+(9,72*4,21)+(1,70*0,40)= 66,04m² - para os ambientes da exposição (dioramas e entrada, educação, comercio  e sala de estar)</t>
  </si>
  <si>
    <t>Para os ambientes conforme projeto</t>
  </si>
  <si>
    <t>Embutidos sobre os forros e nas paredes de gesso acartonado</t>
  </si>
  <si>
    <t>Luminária LED redonda de embutir com difusor translúcido, 4000 K, fluxo luminoso de 800 a 1060 lm, potência de 9 a 12 W</t>
  </si>
  <si>
    <t>41.31.080</t>
  </si>
  <si>
    <t>5.14</t>
  </si>
  <si>
    <t>(5,72+6,15+2,6+5,1+1+5,41+3,5+6,28+3,44+5,5)+(2*7)+(2,2*23)= 109,30m Para retorno da iluminação</t>
  </si>
  <si>
    <t>Para o teto dos ambientes conforme projeto</t>
  </si>
  <si>
    <t>Para os forros de gesso e madeira conforme projeto</t>
  </si>
  <si>
    <t>39.24.173</t>
  </si>
  <si>
    <t xml:space="preserve">Cabo de cobre flexível de 4 x 4 mm², isolamento  500 V - isolação PP 70°C </t>
  </si>
  <si>
    <t>Caixa em PVC de 4´ x 2´</t>
  </si>
  <si>
    <t>40.07.010</t>
  </si>
  <si>
    <t>40.05.060</t>
  </si>
  <si>
    <t>Interruptor com 3 teclas simples e placa</t>
  </si>
  <si>
    <t>Interruptor com 2 teclas simples e placa</t>
  </si>
  <si>
    <t>40.05.040</t>
  </si>
  <si>
    <t>5.15</t>
  </si>
  <si>
    <t>5.16</t>
  </si>
  <si>
    <t>40.04.460</t>
  </si>
  <si>
    <t>Para os projetores externos = 9,26+9,05+4,06= 22,37m</t>
  </si>
  <si>
    <t>Para luminárias tomadas e interruptores</t>
  </si>
  <si>
    <t>Distribuidos de acordo com o projeto</t>
  </si>
  <si>
    <t>Distribuidos de acodo com o projeto</t>
  </si>
  <si>
    <t>Para os cabos PP e projetores externos</t>
  </si>
  <si>
    <t>Para os projetores externos da fachada do museu</t>
  </si>
  <si>
    <t>(16,95+5,56)*3= 67,53m para o  motor da cisterna</t>
  </si>
  <si>
    <t>(3,6*5)+7= 25,00 m² - Para vertical para alimentação das tomadas</t>
  </si>
  <si>
    <t>((29,36)+(3,2*3)+(3,2*3)+(24,95))*3= 220,68m para iluminação da gare e tomadas comuns</t>
  </si>
  <si>
    <t>11,4+9,4+25= 45,80m - Para alimentação dos ramais de energia posicionado nas tesouras ao longo da gare e a partir dos QDLs existentes</t>
  </si>
  <si>
    <t>(11,4+3,3)*3=44,10 para a tomada do compressor trifásico</t>
  </si>
  <si>
    <t>((5,72+6,15+2,6+5,1+1+5,41+3,5+6,28+3,44+5,5)+(2*7)+(2,2*23))*3= 327,90m - para energia e iluminação nos pontos indicados no projeto</t>
  </si>
  <si>
    <t>33.02.060</t>
  </si>
  <si>
    <t>Massa corrida a base de PVA (divisórias e forro)</t>
  </si>
  <si>
    <t>33.10.010</t>
  </si>
  <si>
    <t>Para os ambientes pioneiros - educação - trem turístico (2)</t>
  </si>
  <si>
    <t>Tinta látex antimofo em massa, inclusive preparo (divisórias, forro)</t>
  </si>
  <si>
    <t xml:space="preserve">210,76+68,78+66,04+22,4= 367,98m² para as divisórias e forro de </t>
  </si>
  <si>
    <t>210,76+68,78+66,04+22,4= 367,98m² - para as divisórias e forro de gesso</t>
  </si>
  <si>
    <t>2,35*2,2*0,177= 5,57m² para os expositores antigos de aço</t>
  </si>
  <si>
    <t>7,79+4,84=12,63m² - para os forros de madeira</t>
  </si>
  <si>
    <t>4,92+3,7+((1,29+1,29)*2)+3+7+9,26+ 3,4+2,4=38,84m² para os móveis de madeira do acervo</t>
  </si>
  <si>
    <t>24,44+41,60= 66,04m² para os forros de gesso</t>
  </si>
  <si>
    <t>Para a bomba de incendio</t>
  </si>
  <si>
    <t>Para alimentação das bombas de incendio</t>
  </si>
  <si>
    <t>Para alimentação dos hidrantes</t>
  </si>
  <si>
    <t>Para as boyoeiras</t>
  </si>
  <si>
    <t>Detector de fumaça</t>
  </si>
  <si>
    <t>Detector de fumaça e fogo</t>
  </si>
  <si>
    <t>Alarme de fumaça e fogo</t>
  </si>
  <si>
    <t>Saída do reservatório</t>
  </si>
  <si>
    <t>Para instalação no trecho de alimentação</t>
  </si>
  <si>
    <t>Para o recalque</t>
  </si>
  <si>
    <t>Para alimentação das botoeiras no museu</t>
  </si>
  <si>
    <t>Para entrada de energia para as bombas</t>
  </si>
  <si>
    <t>Para alimentação dos dispositivos de emergência</t>
  </si>
  <si>
    <t>Para alimentação das botoeiras e dispositivos de emergência</t>
  </si>
  <si>
    <t>Para alimentação das botoeiroas da central até o museu</t>
  </si>
  <si>
    <t>Porta que substituirá a porta de madeira conforme projeto</t>
  </si>
  <si>
    <t>(2,30*2)+(0,70*2)= 6,00m² para a porta de emergância</t>
  </si>
  <si>
    <t>Para as folhas da porta de emergência</t>
  </si>
  <si>
    <t>(0,50*1,60*2)= 1,60m² para os nichos das paredes curvas de madeira conforme projeto</t>
  </si>
  <si>
    <t>Impermeabilização em argamassa polimérica para umid e água de percolação (cist.)</t>
  </si>
  <si>
    <t>Impermeabilização em argamassa polimérica para umid e água de percolação (Cisterna.)</t>
  </si>
  <si>
    <t>MÊS 7</t>
  </si>
  <si>
    <t>MÊS 8</t>
  </si>
  <si>
    <t>PAISAGISMO</t>
  </si>
  <si>
    <t>(7,65+1,2)*1,3= 11,51m² - para fechamento das paredes da cisterna</t>
  </si>
  <si>
    <t>(6,5*0,5*4)/2 = 6,50m² - para o muro de arrimo</t>
  </si>
  <si>
    <t xml:space="preserve">Alvenaria de elevação de 1 tijolo maciço comum </t>
  </si>
  <si>
    <t xml:space="preserve">Chapisco </t>
  </si>
  <si>
    <t xml:space="preserve">Emboço comum </t>
  </si>
  <si>
    <t>47.01.060</t>
  </si>
  <si>
    <t xml:space="preserve">(2,23*0,12*0,002*7850*6)+(20,71*0,12*0,002*7850)= 64,23kg - Para estrutura da tampa da caixa dagua de concreto existente que alimentará a reserva de incendio </t>
  </si>
  <si>
    <t xml:space="preserve">CRONOGRAMA FÍSICO - DESEMBOLSO E APLICAÇÃO DOS RECURSOS </t>
  </si>
  <si>
    <t>MUNICÍPIO:</t>
  </si>
  <si>
    <t>BOLETIM Nº.</t>
  </si>
  <si>
    <t xml:space="preserve">DATA BASE: </t>
  </si>
  <si>
    <t>OBJETO:</t>
  </si>
  <si>
    <t>PROCESSO:</t>
  </si>
  <si>
    <r>
      <t xml:space="preserve">INÍCIO: </t>
    </r>
    <r>
      <rPr>
        <sz val="10"/>
        <rFont val="Calibri"/>
        <family val="2"/>
        <scheme val="minor"/>
      </rPr>
      <t xml:space="preserve"> </t>
    </r>
  </si>
  <si>
    <t xml:space="preserve">180 dias da data da assinatura do convênio </t>
  </si>
  <si>
    <t>CONVÊNIO:</t>
  </si>
  <si>
    <r>
      <t>FINAL:</t>
    </r>
    <r>
      <rPr>
        <b/>
        <u/>
        <sz val="10"/>
        <color rgb="FFFF0000"/>
        <rFont val="Calibri"/>
        <family val="2"/>
        <scheme val="minor"/>
      </rPr>
      <t/>
    </r>
  </si>
  <si>
    <t>1ª   ETAPA</t>
  </si>
  <si>
    <t>2ª   ETAPA</t>
  </si>
  <si>
    <t>PERÍODO</t>
  </si>
  <si>
    <t>dias</t>
  </si>
  <si>
    <t>Licitação:</t>
  </si>
  <si>
    <t>Execução:</t>
  </si>
  <si>
    <t>Vistoria:</t>
  </si>
  <si>
    <t>Encerramento:</t>
  </si>
  <si>
    <t xml:space="preserve">RECURSOS ESTADUAIS </t>
  </si>
  <si>
    <t xml:space="preserve">RECURSOS PRÓPRIOS </t>
  </si>
  <si>
    <t xml:space="preserve">T O T A L  </t>
  </si>
  <si>
    <t>PORCENTAGEM DE SERVIÇOS</t>
  </si>
  <si>
    <t xml:space="preserve">número da Portaria: </t>
  </si>
  <si>
    <t>Estância Turística de Paraguaçu Paulista</t>
  </si>
  <si>
    <t>Adequação do Museu Ferroviário José Giorgi e Ampliação da Gare do Trem Turístico e Cultural Moita Bonita - DADETUR 2021</t>
  </si>
  <si>
    <t>Base: CDHU - 182 / FDE 07/2021</t>
  </si>
  <si>
    <t>Base: CDHU - 182</t>
  </si>
  <si>
    <t>Piso interno</t>
  </si>
  <si>
    <t>Piso externo</t>
  </si>
  <si>
    <t>Instalação  Elétrica e telefonica</t>
  </si>
  <si>
    <t>Estrutura, forro e cobertura</t>
  </si>
  <si>
    <t>Iluminação e Energia</t>
  </si>
  <si>
    <t>Cominicação Visual</t>
  </si>
  <si>
    <t>Resp. Tecnico: Arq. Dênis Mendes de Moraes</t>
  </si>
  <si>
    <t>CAU - A96375-5</t>
  </si>
  <si>
    <t>RRts - RRTs - 11318738 - 11318496</t>
  </si>
  <si>
    <t>ST-PRC -2021-00239-DM</t>
  </si>
  <si>
    <t>Instalação de combate a incendio</t>
  </si>
  <si>
    <t>110,50*0,4*0,8 = 35,36m³ para tubulação de 4" entre o reservatório e o museu</t>
  </si>
  <si>
    <t>MÊS 9</t>
  </si>
  <si>
    <t>MÊS 10</t>
  </si>
  <si>
    <t>Desconto de 23% (BDI) incluso no boletim FDE  itens 8.1, 8.2, 8.11 e 8.13.</t>
  </si>
  <si>
    <t>Concreto usinado, fck = 25 MPa - para bombeamento (Vigas interm.)</t>
  </si>
  <si>
    <t>Lançamento e adensamento de concreto ou massa em estrutura (Vigas interm. e respaudo)</t>
  </si>
  <si>
    <t>Armadura em barra de aço CA-50 (A ou B) fyk= 500 Mpa  (Vigas interm. e respaudo)</t>
  </si>
  <si>
    <t>Armadura em barra de aço CA-60 (A ou B) fyk= 600 Mpa  (Vigas interm. e respaudo)</t>
  </si>
  <si>
    <t>Esmalte a base de água em estrutura metálica (portão+janelas)</t>
  </si>
  <si>
    <t>((7,05*4,2)-(17,4))*0,2= 2,44m³  parede externa da gare existente identificada no projeto - o portão metálico</t>
  </si>
  <si>
    <t>(313,5*0,005)+2,44= 4,01 m³ - telhas de aço galvanizado do telhado antigo e parede a ser demolida</t>
  </si>
  <si>
    <t>(41,8*7,5)1= 313,50 m² - retirada do telhado antigo total</t>
  </si>
  <si>
    <t>((24,95+7,2 -3,64)*0,3*0,4)+(0,7*0,7*0,5)*13)=  6,61 m³ - para as vigas baldrame da ampliação da gare e sapatas</t>
  </si>
  <si>
    <t>(28,51*0,1*0,2)+(0,7*0,7*0,15*13)= 1,53m³</t>
  </si>
  <si>
    <t>(27,8+9,23+1,5)*2,2= 84,77m² - para fechamento da área da ampliação da gare conforme projeto</t>
  </si>
  <si>
    <t>3*13= 39,00m para o fundo das sapatas conforme projeto e nos quatro cantos da cisterna</t>
  </si>
  <si>
    <t>(28,51*0,2*0,3)+(4,2*0,2*0,3)= 1,96 m³ para as vigas baldrame e apoio da cisterna</t>
  </si>
  <si>
    <t>(28,51*0,2*0,3)+(4,2*0,2*0,3)= 1,96 m³ - para as vigas baldrame e apoio da cisterna</t>
  </si>
  <si>
    <t>(1,96*90)*0,8= 141,12 kg - para as armaduras longitudinais das vigas baldrame e apoio da cisterna</t>
  </si>
  <si>
    <t>(1,96*90)*0,2= 35,28 kg - para s armaduras transversais das vigas baldrame das paredes e cisterna</t>
  </si>
  <si>
    <t>(0,7*0,7*13*0,03)+(28,51*0,2*0,03)+(4,2*0,2*0,03)= 0,39 m³ para o fundo das sapatas e vigas baldrame e cisterna</t>
  </si>
  <si>
    <t>(0,2+0,3+0,3)*28,51= 22,81m² para as vigas baldrame</t>
  </si>
  <si>
    <t xml:space="preserve"> (28,51*0,6)+(4,2*0,6) = 19,63 - para as vigas baldrame </t>
  </si>
  <si>
    <t>((0,2*0,25*4)*4)+((0,15*0,2*4)*6)+((0,2*0,2*5,01)*3)= 2,12 m³ - para os pilres de concreto (PC1 ao PC9)</t>
  </si>
  <si>
    <t>2,12*90*0,8= 152,64kg - para os pilres de concreto (PC1 ao PC9)</t>
  </si>
  <si>
    <t>(2,12*90)*0,2= 38,16 kg - para os pilres de concreto (PC1 ao PC9)</t>
  </si>
  <si>
    <t>(28,51*0,12*0,2)+(7,66*0,12*0,2)= 0,87 m³ - para as vigas intermediarias (2 fileiras nas paredes de alvenaria para fechamento da ampliação da gare)</t>
  </si>
  <si>
    <t>(0,87*90)*0,8= 62,64 kg -  para as vigas e respaldo (2 fileiras nas paredes de alvenaria para fechamento da ampliação da gare)</t>
  </si>
  <si>
    <t>(0,87*90)*0,2= 15,66 kg -  para as vigas e respaldo (2 fileiras nas paredes de alvenaria para fechamento da ampliação da gare)</t>
  </si>
  <si>
    <t>(0,3*4*2*13)+(0,3*(28,51+7,66)*2)= 52,90 m² -  para as vigas e respaldo (2 fileiras nas paredes de alvenaria para fechamento da ampliação da gare)</t>
  </si>
  <si>
    <t>(5,3*10)+14,1+11,94= 79,04 m² - paredes de fechamento da gare</t>
  </si>
  <si>
    <t>((8,14*2*0,18*0,006)+(8,64*0,12*0,003))*7850*5= 812,19 kg para as 5 tesouras treliçadas em aço sobre a gare</t>
  </si>
  <si>
    <t xml:space="preserve">(24,95*8*0,195*0,002*7850)+(12,7*0,195*0,002*7850*3)= 727,72 kg para as terças longitudinais em aço perfil U </t>
  </si>
  <si>
    <t>(313,5)+(172,55)= 486,05 m² para a substituição do trelhado antigo e o novo na ampliação da gare</t>
  </si>
  <si>
    <t>12,7*3= 38,10 m² - pára iluminação da gare sobre a plataforma conforme projeto</t>
  </si>
  <si>
    <t>67,42+7,5+7,5= 82,42 m- Sobre as paredes dos portões de entrada da locomotiva e sobre a calha junto ao museu</t>
  </si>
  <si>
    <t>(0,6+(1,5*1,2))*15,6= 37,44 KG - para ser instalado na cobertura sobre o chaminé da locomotiva</t>
  </si>
  <si>
    <t>(0,3*4*2*13)+(0,3*(28,51+7,66)*2)= 52,90 m² para revestimento das faixas e pilares de concreto</t>
  </si>
  <si>
    <t>(0,3*4*2*13)+(0,3*(28,51+7,66)*2)= 52,90 m² para as faixas de reboco</t>
  </si>
  <si>
    <t>((8,14*2*0,18)+(8,64*0,12))*11= 43,64 m² - para as tesouras em trelica da cobertura</t>
  </si>
  <si>
    <t>28,5+3,05= 31,55m - Para esgoto do tanque</t>
  </si>
  <si>
    <t>2,35*2,2*1,077=5,57m² para a cobertura da maquete - estação</t>
  </si>
  <si>
    <t>54.06.040</t>
  </si>
  <si>
    <t>Guia pré-moldada reta tipo PMSP 100 - fck 25 Mpa</t>
  </si>
  <si>
    <t>(6,5*4,05)+(6,5*6,27)= 67,08 m² - para rampas, saída da locomotiva ao redor do viradouro</t>
  </si>
  <si>
    <t>15.7</t>
  </si>
  <si>
    <t>17.05.020</t>
  </si>
  <si>
    <t>54.01.010</t>
  </si>
  <si>
    <t>Regularização e compactação mecanizada de superfície, sem controle do proctor normal</t>
  </si>
  <si>
    <t>Piso com requadro em concreto simples sem controle de fck</t>
  </si>
  <si>
    <t>Revestimento primário com pedra britada, compactação mínima de 95% do PN</t>
  </si>
  <si>
    <t>54.02.030</t>
  </si>
  <si>
    <t>Regularização e compactação mecanizada de superfície, sem controle do proctor normal ( para calçada )</t>
  </si>
  <si>
    <t>Piso com requadro em concreto simples sem controle de fck ( para calçada)</t>
  </si>
  <si>
    <t>53,08+8,62= 61,70 m² ( para calçada externa ao longo da gare+ entorno da cisterna)</t>
  </si>
  <si>
    <t>(53,08+8,62)*0,05=3,09 m³ ( para calçada externa ao longo da gare+ entorno da cisterna)</t>
  </si>
  <si>
    <t>100,3*0,06 m³ ( para calçada externa ao longo da gare+ entorno da cisterna)</t>
  </si>
  <si>
    <t>31,895*1,5= 47,84 m²</t>
  </si>
  <si>
    <t>0,6*0,8*13 = 6,24 m²</t>
  </si>
  <si>
    <t>Placa de identificação em acrílico com texto em 
vinil - Adesivos e painéis graficos (acrílico 60x80cm) 13 unidades</t>
  </si>
  <si>
    <t>79,04 * 2 =158,08 m² - para as paredes de tijolos a vista do fechamento da gare</t>
  </si>
  <si>
    <t>110,50+4,5=115m do reservatório ao museu</t>
  </si>
  <si>
    <t>Estado de São Paulo</t>
  </si>
  <si>
    <t>217/2021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</si>
</sst>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[$R$-416]\ #,##0.00;[Red]\-[$R$-416]\ #,##0.00"/>
    <numFmt numFmtId="166" formatCode="&quot; R$ &quot;* #,##0.00\ ;&quot;-R$ &quot;* #,##0.00\ ;&quot; R$ &quot;* \-#\ ;@\ "/>
    <numFmt numFmtId="167" formatCode="_-[$R$-416]\ * #,##0.00_-;\-[$R$-416]\ * #,##0.00_-;_-[$R$-416]\ 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3.5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u val="singleAccounting"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name val="Arial"/>
      <family val="1"/>
    </font>
    <font>
      <sz val="11"/>
      <color theme="1"/>
      <name val="Arial"/>
      <family val="2"/>
      <charset val="1"/>
    </font>
    <font>
      <b/>
      <sz val="11"/>
      <color theme="1"/>
      <name val="Arial"/>
      <family val="2"/>
      <charset val="1"/>
    </font>
    <font>
      <b/>
      <sz val="11"/>
      <name val="Arial"/>
      <family val="2"/>
      <charset val="1"/>
    </font>
    <font>
      <sz val="9"/>
      <color theme="1"/>
      <name val="Arial"/>
      <family val="2"/>
    </font>
    <font>
      <sz val="10"/>
      <name val="Arial"/>
      <family val="2"/>
      <charset val="1"/>
    </font>
    <font>
      <b/>
      <sz val="13.5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name val="Arial"/>
      <family val="2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theme="1"/>
      <name val="Arial"/>
      <family val="2"/>
      <charset val="1"/>
    </font>
    <font>
      <sz val="10"/>
      <name val="MS Sans Serif"/>
      <family val="2"/>
    </font>
    <font>
      <u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name val="MS Sans Serif"/>
      <family val="2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6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FF0000"/>
      <name val="MS Sans Serif"/>
      <family val="2"/>
    </font>
    <font>
      <b/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name val="Calibri"/>
      <family val="2"/>
      <scheme val="minor"/>
    </font>
    <font>
      <sz val="11"/>
      <color theme="1"/>
      <name val="MS Sans Serif"/>
      <family val="2"/>
    </font>
    <font>
      <u/>
      <sz val="1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rgb="FFF0F0F0"/>
      </patternFill>
    </fill>
    <fill>
      <patternFill patternType="solid">
        <fgColor rgb="FFD9D9D9"/>
        <bgColor rgb="FFD8D8D8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1" fillId="0" borderId="0"/>
    <xf numFmtId="9" fontId="21" fillId="0" borderId="0" applyBorder="0" applyProtection="0"/>
    <xf numFmtId="9" fontId="21" fillId="0" borderId="0" applyBorder="0" applyProtection="0"/>
    <xf numFmtId="0" fontId="34" fillId="0" borderId="0"/>
    <xf numFmtId="165" fontId="21" fillId="0" borderId="0" applyBorder="0" applyProtection="0"/>
    <xf numFmtId="43" fontId="6" fillId="0" borderId="0" applyFont="0" applyFill="0" applyBorder="0" applyAlignment="0" applyProtection="0"/>
    <xf numFmtId="0" fontId="37" fillId="0" borderId="0"/>
    <xf numFmtId="44" fontId="37" fillId="0" borderId="0" applyFont="0" applyFill="0" applyBorder="0" applyAlignment="0" applyProtection="0"/>
    <xf numFmtId="0" fontId="34" fillId="0" borderId="0"/>
    <xf numFmtId="44" fontId="34" fillId="0" borderId="0" applyFont="0" applyFill="0" applyBorder="0" applyAlignment="0" applyProtection="0"/>
  </cellStyleXfs>
  <cellXfs count="58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2" fillId="0" borderId="6" xfId="0" applyFont="1" applyBorder="1" applyAlignment="1"/>
    <xf numFmtId="0" fontId="2" fillId="0" borderId="8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4" fontId="1" fillId="0" borderId="1" xfId="1" applyFont="1" applyBorder="1"/>
    <xf numFmtId="44" fontId="1" fillId="2" borderId="1" xfId="1" applyFont="1" applyFill="1" applyBorder="1"/>
    <xf numFmtId="44" fontId="3" fillId="2" borderId="1" xfId="1" applyFont="1" applyFill="1" applyBorder="1"/>
    <xf numFmtId="2" fontId="1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44" fontId="3" fillId="0" borderId="1" xfId="1" applyFont="1" applyBorder="1"/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0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4" fontId="1" fillId="2" borderId="1" xfId="0" applyNumberFormat="1" applyFont="1" applyFill="1" applyBorder="1"/>
    <xf numFmtId="44" fontId="1" fillId="0" borderId="1" xfId="0" applyNumberFormat="1" applyFont="1" applyBorder="1"/>
    <xf numFmtId="44" fontId="1" fillId="0" borderId="1" xfId="0" applyNumberFormat="1" applyFont="1" applyFill="1" applyBorder="1"/>
    <xf numFmtId="44" fontId="3" fillId="2" borderId="1" xfId="0" applyNumberFormat="1" applyFont="1" applyFill="1" applyBorder="1"/>
    <xf numFmtId="44" fontId="10" fillId="0" borderId="1" xfId="1" applyNumberFormat="1" applyFont="1" applyFill="1" applyBorder="1"/>
    <xf numFmtId="44" fontId="3" fillId="2" borderId="10" xfId="1" applyNumberFormat="1" applyFont="1" applyFill="1" applyBorder="1"/>
    <xf numFmtId="2" fontId="1" fillId="0" borderId="1" xfId="0" applyNumberFormat="1" applyFont="1" applyFill="1" applyBorder="1" applyAlignment="1">
      <alignment horizontal="center"/>
    </xf>
    <xf numFmtId="44" fontId="1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44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3" fillId="0" borderId="1" xfId="0" applyFont="1" applyFill="1" applyBorder="1" applyAlignment="1">
      <alignment horizontal="right"/>
    </xf>
    <xf numFmtId="44" fontId="1" fillId="0" borderId="1" xfId="1" applyFont="1" applyFill="1" applyBorder="1"/>
    <xf numFmtId="44" fontId="1" fillId="0" borderId="1" xfId="1" applyFont="1" applyFill="1" applyBorder="1" applyAlignment="1">
      <alignment vertical="center"/>
    </xf>
    <xf numFmtId="44" fontId="12" fillId="0" borderId="1" xfId="1" applyFont="1" applyBorder="1"/>
    <xf numFmtId="0" fontId="8" fillId="0" borderId="1" xfId="0" applyFont="1" applyBorder="1" applyAlignment="1">
      <alignment horizontal="right" wrapText="1"/>
    </xf>
    <xf numFmtId="164" fontId="3" fillId="0" borderId="1" xfId="1" applyNumberFormat="1" applyFont="1" applyBorder="1"/>
    <xf numFmtId="44" fontId="1" fillId="0" borderId="1" xfId="1" applyFont="1" applyBorder="1" applyAlignment="1">
      <alignment vertical="center"/>
    </xf>
    <xf numFmtId="0" fontId="8" fillId="0" borderId="1" xfId="0" applyFont="1" applyBorder="1" applyAlignment="1">
      <alignment horizontal="right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8" fillId="2" borderId="1" xfId="0" applyFont="1" applyFill="1" applyBorder="1"/>
    <xf numFmtId="0" fontId="15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44" fontId="14" fillId="0" borderId="1" xfId="0" applyNumberFormat="1" applyFont="1" applyBorder="1" applyAlignment="1">
      <alignment horizontal="right" vertical="top" wrapText="1"/>
    </xf>
    <xf numFmtId="10" fontId="3" fillId="2" borderId="1" xfId="2" applyNumberFormat="1" applyFont="1" applyFill="1" applyBorder="1" applyAlignment="1">
      <alignment horizontal="center"/>
    </xf>
    <xf numFmtId="0" fontId="16" fillId="4" borderId="1" xfId="0" applyFont="1" applyFill="1" applyBorder="1" applyAlignment="1">
      <alignment vertical="top" wrapText="1"/>
    </xf>
    <xf numFmtId="0" fontId="16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44" fontId="3" fillId="0" borderId="10" xfId="1" applyNumberFormat="1" applyFont="1" applyFill="1" applyBorder="1"/>
    <xf numFmtId="0" fontId="1" fillId="0" borderId="1" xfId="0" applyFont="1" applyFill="1" applyBorder="1" applyAlignment="1">
      <alignment horizontal="left" vertical="top"/>
    </xf>
    <xf numFmtId="44" fontId="1" fillId="0" borderId="1" xfId="0" applyNumberFormat="1" applyFont="1" applyBorder="1" applyAlignment="1">
      <alignment vertical="center"/>
    </xf>
    <xf numFmtId="44" fontId="1" fillId="0" borderId="0" xfId="0" applyNumberFormat="1" applyFont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0" fillId="0" borderId="6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2" xfId="0" applyBorder="1"/>
    <xf numFmtId="44" fontId="8" fillId="0" borderId="10" xfId="0" applyNumberFormat="1" applyFont="1" applyFill="1" applyBorder="1" applyAlignment="1"/>
    <xf numFmtId="44" fontId="8" fillId="2" borderId="10" xfId="0" applyNumberFormat="1" applyFont="1" applyFill="1" applyBorder="1" applyAlignment="1"/>
    <xf numFmtId="44" fontId="10" fillId="2" borderId="1" xfId="0" applyNumberFormat="1" applyFont="1" applyFill="1" applyBorder="1"/>
    <xf numFmtId="0" fontId="14" fillId="0" borderId="1" xfId="0" applyFont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/>
    </xf>
    <xf numFmtId="44" fontId="14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Border="1"/>
    <xf numFmtId="1" fontId="13" fillId="0" borderId="1" xfId="0" applyNumberFormat="1" applyFont="1" applyFill="1" applyBorder="1" applyAlignment="1">
      <alignment horizontal="center" wrapText="1"/>
    </xf>
    <xf numFmtId="0" fontId="1" fillId="0" borderId="6" xfId="0" applyFont="1" applyFill="1" applyBorder="1"/>
    <xf numFmtId="0" fontId="1" fillId="0" borderId="0" xfId="0" applyFont="1" applyFill="1" applyBorder="1"/>
    <xf numFmtId="0" fontId="1" fillId="0" borderId="7" xfId="0" applyFont="1" applyFill="1" applyBorder="1"/>
    <xf numFmtId="4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6" fillId="2" borderId="1" xfId="0" applyFont="1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/>
    <xf numFmtId="0" fontId="3" fillId="0" borderId="1" xfId="0" applyFont="1" applyFill="1" applyBorder="1" applyAlignment="1"/>
    <xf numFmtId="0" fontId="1" fillId="2" borderId="1" xfId="0" applyFont="1" applyFill="1" applyBorder="1" applyAlignment="1"/>
    <xf numFmtId="2" fontId="1" fillId="2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4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" xfId="0" applyFont="1" applyBorder="1" applyAlignment="1">
      <alignment horizontal="left" vertical="top"/>
    </xf>
    <xf numFmtId="44" fontId="3" fillId="0" borderId="1" xfId="1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8" fillId="0" borderId="1" xfId="0" applyFont="1" applyFill="1" applyBorder="1"/>
    <xf numFmtId="0" fontId="19" fillId="4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/>
    <xf numFmtId="0" fontId="17" fillId="0" borderId="1" xfId="0" applyFont="1" applyFill="1" applyBorder="1"/>
    <xf numFmtId="0" fontId="17" fillId="2" borderId="0" xfId="0" applyFont="1" applyFill="1" applyBorder="1"/>
    <xf numFmtId="0" fontId="15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right"/>
    </xf>
    <xf numFmtId="0" fontId="21" fillId="0" borderId="0" xfId="3"/>
    <xf numFmtId="10" fontId="30" fillId="5" borderId="13" xfId="3" applyNumberFormat="1" applyFont="1" applyFill="1" applyBorder="1" applyAlignment="1">
      <alignment horizontal="right" vertical="top" wrapText="1"/>
    </xf>
    <xf numFmtId="10" fontId="21" fillId="0" borderId="0" xfId="3" applyNumberFormat="1"/>
    <xf numFmtId="165" fontId="31" fillId="5" borderId="15" xfId="3" applyNumberFormat="1" applyFont="1" applyFill="1" applyBorder="1" applyAlignment="1" applyProtection="1">
      <alignment horizontal="right" vertical="top" wrapText="1"/>
    </xf>
    <xf numFmtId="165" fontId="21" fillId="0" borderId="0" xfId="3" applyNumberFormat="1"/>
    <xf numFmtId="10" fontId="32" fillId="0" borderId="0" xfId="4" applyNumberFormat="1" applyFont="1" applyBorder="1" applyAlignment="1" applyProtection="1">
      <alignment horizontal="left" vertical="top"/>
    </xf>
    <xf numFmtId="10" fontId="33" fillId="6" borderId="13" xfId="3" applyNumberFormat="1" applyFont="1" applyFill="1" applyBorder="1" applyAlignment="1">
      <alignment horizontal="center" vertical="top" wrapText="1"/>
    </xf>
    <xf numFmtId="165" fontId="33" fillId="0" borderId="15" xfId="3" applyNumberFormat="1" applyFont="1" applyBorder="1" applyAlignment="1" applyProtection="1">
      <alignment horizontal="center" vertical="top" wrapText="1"/>
    </xf>
    <xf numFmtId="164" fontId="33" fillId="0" borderId="15" xfId="3" applyNumberFormat="1" applyFont="1" applyBorder="1" applyAlignment="1" applyProtection="1">
      <alignment horizontal="center" vertical="top" wrapText="1"/>
    </xf>
    <xf numFmtId="10" fontId="33" fillId="5" borderId="12" xfId="3" applyNumberFormat="1" applyFont="1" applyFill="1" applyBorder="1" applyAlignment="1">
      <alignment horizontal="center" vertical="top" wrapText="1"/>
    </xf>
    <xf numFmtId="10" fontId="30" fillId="5" borderId="1" xfId="5" applyNumberFormat="1" applyFont="1" applyFill="1" applyBorder="1" applyAlignment="1" applyProtection="1">
      <alignment horizontal="right" vertical="top" wrapText="1"/>
    </xf>
    <xf numFmtId="10" fontId="21" fillId="0" borderId="0" xfId="3" applyNumberFormat="1" applyBorder="1" applyAlignment="1">
      <alignment horizontal="left" vertical="top"/>
    </xf>
    <xf numFmtId="166" fontId="21" fillId="0" borderId="0" xfId="3" applyNumberFormat="1" applyBorder="1" applyAlignment="1">
      <alignment horizontal="left" vertical="top"/>
    </xf>
    <xf numFmtId="165" fontId="33" fillId="5" borderId="1" xfId="3" applyNumberFormat="1" applyFont="1" applyFill="1" applyBorder="1" applyAlignment="1" applyProtection="1">
      <alignment horizontal="center" vertical="top" wrapText="1"/>
    </xf>
    <xf numFmtId="164" fontId="33" fillId="5" borderId="1" xfId="3" applyNumberFormat="1" applyFont="1" applyFill="1" applyBorder="1" applyAlignment="1" applyProtection="1">
      <alignment horizontal="center" vertical="top" wrapText="1"/>
    </xf>
    <xf numFmtId="165" fontId="30" fillId="5" borderId="1" xfId="3" applyNumberFormat="1" applyFont="1" applyFill="1" applyBorder="1" applyAlignment="1" applyProtection="1">
      <alignment horizontal="right" vertical="top" wrapText="1"/>
    </xf>
    <xf numFmtId="0" fontId="32" fillId="5" borderId="1" xfId="3" applyFont="1" applyFill="1" applyBorder="1" applyAlignment="1">
      <alignment horizontal="left" vertical="top" wrapText="1"/>
    </xf>
    <xf numFmtId="0" fontId="21" fillId="5" borderId="3" xfId="3" applyFill="1" applyBorder="1" applyAlignment="1">
      <alignment horizontal="left" vertical="top" wrapText="1"/>
    </xf>
    <xf numFmtId="0" fontId="21" fillId="5" borderId="4" xfId="3" applyFill="1" applyBorder="1" applyAlignment="1">
      <alignment horizontal="left" vertical="top" wrapText="1"/>
    </xf>
    <xf numFmtId="0" fontId="21" fillId="0" borderId="6" xfId="3" applyFont="1" applyBorder="1" applyAlignment="1"/>
    <xf numFmtId="0" fontId="21" fillId="0" borderId="0" xfId="3" applyFont="1" applyBorder="1" applyAlignment="1"/>
    <xf numFmtId="0" fontId="21" fillId="0" borderId="8" xfId="3" applyFont="1" applyBorder="1" applyAlignment="1">
      <alignment vertical="top" wrapText="1"/>
    </xf>
    <xf numFmtId="0" fontId="21" fillId="0" borderId="2" xfId="3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2" fontId="1" fillId="0" borderId="0" xfId="0" applyNumberFormat="1" applyFont="1" applyAlignment="1">
      <alignment horizontal="center"/>
    </xf>
    <xf numFmtId="165" fontId="33" fillId="6" borderId="13" xfId="3" applyNumberFormat="1" applyFont="1" applyFill="1" applyBorder="1" applyAlignment="1">
      <alignment horizontal="center" vertical="top" wrapText="1"/>
    </xf>
    <xf numFmtId="0" fontId="26" fillId="6" borderId="11" xfId="3" applyFont="1" applyFill="1" applyBorder="1" applyAlignment="1">
      <alignment horizontal="right" vertical="top" wrapText="1"/>
    </xf>
    <xf numFmtId="1" fontId="27" fillId="6" borderId="11" xfId="3" applyNumberFormat="1" applyFont="1" applyFill="1" applyBorder="1" applyAlignment="1">
      <alignment horizontal="right" vertical="top" wrapText="1"/>
    </xf>
    <xf numFmtId="10" fontId="33" fillId="6" borderId="11" xfId="3" applyNumberFormat="1" applyFont="1" applyFill="1" applyBorder="1" applyAlignment="1">
      <alignment horizontal="center" vertical="top" wrapText="1"/>
    </xf>
    <xf numFmtId="10" fontId="30" fillId="5" borderId="11" xfId="3" applyNumberFormat="1" applyFont="1" applyFill="1" applyBorder="1" applyAlignment="1">
      <alignment horizontal="right" vertical="top" wrapText="1"/>
    </xf>
    <xf numFmtId="10" fontId="33" fillId="6" borderId="25" xfId="3" applyNumberFormat="1" applyFont="1" applyFill="1" applyBorder="1" applyAlignment="1">
      <alignment horizontal="center" vertical="top" wrapText="1"/>
    </xf>
    <xf numFmtId="165" fontId="33" fillId="0" borderId="32" xfId="3" applyNumberFormat="1" applyFont="1" applyBorder="1" applyAlignment="1" applyProtection="1">
      <alignment horizontal="center" vertical="top" wrapText="1"/>
    </xf>
    <xf numFmtId="165" fontId="33" fillId="0" borderId="34" xfId="3" applyNumberFormat="1" applyFont="1" applyBorder="1" applyAlignment="1" applyProtection="1">
      <alignment horizontal="center" vertical="top" wrapText="1"/>
    </xf>
    <xf numFmtId="10" fontId="33" fillId="6" borderId="30" xfId="3" applyNumberFormat="1" applyFont="1" applyFill="1" applyBorder="1" applyAlignment="1">
      <alignment horizontal="center" vertical="top" wrapText="1"/>
    </xf>
    <xf numFmtId="10" fontId="33" fillId="6" borderId="31" xfId="3" applyNumberFormat="1" applyFont="1" applyFill="1" applyBorder="1" applyAlignment="1">
      <alignment horizontal="center" vertical="top" wrapText="1"/>
    </xf>
    <xf numFmtId="0" fontId="33" fillId="0" borderId="15" xfId="3" applyFont="1" applyBorder="1" applyAlignment="1" applyProtection="1">
      <alignment horizontal="center" vertical="top" wrapText="1"/>
    </xf>
    <xf numFmtId="0" fontId="33" fillId="0" borderId="32" xfId="3" applyFont="1" applyBorder="1" applyAlignment="1" applyProtection="1">
      <alignment horizontal="center" vertical="top" wrapText="1"/>
    </xf>
    <xf numFmtId="0" fontId="33" fillId="5" borderId="32" xfId="3" applyFont="1" applyFill="1" applyBorder="1" applyAlignment="1" applyProtection="1">
      <alignment horizontal="center" vertical="top" wrapText="1"/>
    </xf>
    <xf numFmtId="165" fontId="33" fillId="5" borderId="32" xfId="3" applyNumberFormat="1" applyFont="1" applyFill="1" applyBorder="1" applyAlignment="1" applyProtection="1">
      <alignment horizontal="center" vertical="top" wrapText="1"/>
    </xf>
    <xf numFmtId="165" fontId="33" fillId="0" borderId="33" xfId="3" applyNumberFormat="1" applyFont="1" applyBorder="1" applyAlignment="1" applyProtection="1">
      <alignment horizontal="center" vertical="top" wrapText="1"/>
    </xf>
    <xf numFmtId="10" fontId="33" fillId="6" borderId="5" xfId="3" applyNumberFormat="1" applyFont="1" applyFill="1" applyBorder="1" applyAlignment="1">
      <alignment horizontal="center" vertical="top" wrapText="1"/>
    </xf>
    <xf numFmtId="165" fontId="33" fillId="0" borderId="9" xfId="3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/>
    <xf numFmtId="0" fontId="21" fillId="0" borderId="0" xfId="3" applyBorder="1"/>
    <xf numFmtId="0" fontId="21" fillId="5" borderId="0" xfId="3" applyFill="1" applyBorder="1" applyAlignment="1">
      <alignment horizontal="left" vertical="top" wrapText="1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4" xfId="0" applyBorder="1"/>
    <xf numFmtId="0" fontId="1" fillId="0" borderId="5" xfId="0" applyFont="1" applyFill="1" applyBorder="1"/>
    <xf numFmtId="0" fontId="1" fillId="0" borderId="1" xfId="0" applyFont="1" applyFill="1" applyBorder="1" applyAlignment="1">
      <alignment wrapText="1"/>
    </xf>
    <xf numFmtId="10" fontId="1" fillId="2" borderId="1" xfId="0" applyNumberFormat="1" applyFont="1" applyFill="1" applyBorder="1"/>
    <xf numFmtId="4" fontId="35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top"/>
    </xf>
    <xf numFmtId="10" fontId="33" fillId="6" borderId="37" xfId="3" applyNumberFormat="1" applyFont="1" applyFill="1" applyBorder="1" applyAlignment="1">
      <alignment horizontal="center" vertical="top" wrapText="1"/>
    </xf>
    <xf numFmtId="0" fontId="33" fillId="0" borderId="8" xfId="3" applyFont="1" applyBorder="1" applyAlignment="1" applyProtection="1">
      <alignment horizontal="center" vertical="top" wrapText="1"/>
    </xf>
    <xf numFmtId="10" fontId="33" fillId="6" borderId="3" xfId="3" applyNumberFormat="1" applyFont="1" applyFill="1" applyBorder="1" applyAlignment="1">
      <alignment horizontal="center" vertical="top" wrapText="1"/>
    </xf>
    <xf numFmtId="165" fontId="33" fillId="0" borderId="8" xfId="3" applyNumberFormat="1" applyFont="1" applyBorder="1" applyAlignment="1" applyProtection="1">
      <alignment horizontal="center" vertical="top" wrapText="1"/>
    </xf>
    <xf numFmtId="164" fontId="33" fillId="0" borderId="8" xfId="3" applyNumberFormat="1" applyFont="1" applyBorder="1" applyAlignment="1" applyProtection="1">
      <alignment horizontal="center" vertical="top" wrapText="1"/>
    </xf>
    <xf numFmtId="165" fontId="33" fillId="0" borderId="38" xfId="3" applyNumberFormat="1" applyFont="1" applyBorder="1" applyAlignment="1" applyProtection="1">
      <alignment horizontal="center" vertical="top" wrapText="1"/>
    </xf>
    <xf numFmtId="0" fontId="37" fillId="0" borderId="0" xfId="9" applyAlignment="1" applyProtection="1">
      <alignment vertical="center"/>
    </xf>
    <xf numFmtId="0" fontId="37" fillId="7" borderId="0" xfId="9" applyFill="1" applyBorder="1" applyAlignment="1" applyProtection="1">
      <alignment vertical="center"/>
    </xf>
    <xf numFmtId="0" fontId="37" fillId="7" borderId="0" xfId="9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40" fillId="0" borderId="0" xfId="9" applyFont="1" applyAlignment="1" applyProtection="1">
      <alignment horizontal="center" vertical="center"/>
    </xf>
    <xf numFmtId="0" fontId="40" fillId="7" borderId="0" xfId="9" applyFont="1" applyFill="1" applyBorder="1" applyAlignment="1" applyProtection="1">
      <alignment horizontal="center" vertical="center"/>
    </xf>
    <xf numFmtId="0" fontId="40" fillId="7" borderId="0" xfId="9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42" fillId="0" borderId="0" xfId="9" applyFont="1" applyBorder="1" applyAlignment="1" applyProtection="1">
      <alignment vertical="center"/>
    </xf>
    <xf numFmtId="0" fontId="37" fillId="0" borderId="0" xfId="9" applyBorder="1" applyAlignment="1" applyProtection="1">
      <alignment vertical="center"/>
    </xf>
    <xf numFmtId="0" fontId="6" fillId="7" borderId="0" xfId="9" applyFont="1" applyFill="1" applyBorder="1" applyAlignment="1" applyProtection="1">
      <alignment vertical="center"/>
    </xf>
    <xf numFmtId="0" fontId="44" fillId="0" borderId="0" xfId="9" applyFont="1" applyBorder="1" applyAlignment="1" applyProtection="1">
      <alignment vertical="center"/>
    </xf>
    <xf numFmtId="0" fontId="41" fillId="0" borderId="0" xfId="9" applyFont="1" applyBorder="1" applyAlignment="1" applyProtection="1">
      <alignment vertical="center"/>
    </xf>
    <xf numFmtId="0" fontId="41" fillId="0" borderId="0" xfId="9" applyFont="1" applyBorder="1" applyAlignment="1" applyProtection="1">
      <alignment horizontal="centerContinuous" vertical="center"/>
    </xf>
    <xf numFmtId="0" fontId="42" fillId="7" borderId="0" xfId="9" applyFont="1" applyFill="1" applyBorder="1" applyAlignment="1" applyProtection="1">
      <alignment vertical="center" wrapText="1"/>
    </xf>
    <xf numFmtId="0" fontId="44" fillId="0" borderId="0" xfId="9" applyFont="1" applyBorder="1" applyAlignment="1" applyProtection="1">
      <alignment vertical="center" wrapText="1"/>
    </xf>
    <xf numFmtId="14" fontId="42" fillId="0" borderId="2" xfId="9" applyNumberFormat="1" applyFont="1" applyBorder="1" applyAlignment="1" applyProtection="1">
      <alignment vertical="center"/>
    </xf>
    <xf numFmtId="0" fontId="46" fillId="0" borderId="0" xfId="9" applyFont="1" applyBorder="1" applyAlignment="1" applyProtection="1">
      <alignment horizontal="left" vertical="center"/>
    </xf>
    <xf numFmtId="0" fontId="40" fillId="7" borderId="0" xfId="9" applyFont="1" applyFill="1" applyBorder="1" applyAlignment="1" applyProtection="1">
      <alignment vertical="center" wrapText="1"/>
    </xf>
    <xf numFmtId="0" fontId="42" fillId="0" borderId="0" xfId="9" applyFont="1" applyBorder="1" applyAlignment="1" applyProtection="1">
      <alignment horizontal="center" vertical="center"/>
    </xf>
    <xf numFmtId="0" fontId="6" fillId="7" borderId="0" xfId="9" applyFont="1" applyFill="1" applyBorder="1" applyAlignment="1" applyProtection="1">
      <alignment horizontal="left" vertical="center"/>
    </xf>
    <xf numFmtId="0" fontId="49" fillId="0" borderId="10" xfId="9" applyFont="1" applyBorder="1" applyAlignment="1" applyProtection="1">
      <alignment vertical="center" wrapText="1"/>
    </xf>
    <xf numFmtId="0" fontId="49" fillId="0" borderId="14" xfId="9" applyFont="1" applyBorder="1" applyAlignment="1" applyProtection="1">
      <alignment vertical="center" wrapText="1"/>
    </xf>
    <xf numFmtId="0" fontId="50" fillId="0" borderId="10" xfId="6" applyFont="1" applyBorder="1" applyAlignment="1" applyProtection="1">
      <alignment horizontal="right" vertical="center" wrapText="1"/>
    </xf>
    <xf numFmtId="0" fontId="41" fillId="0" borderId="14" xfId="6" applyFont="1" applyBorder="1" applyAlignment="1" applyProtection="1">
      <alignment horizontal="center" vertical="center" wrapText="1"/>
      <protection hidden="1"/>
    </xf>
    <xf numFmtId="0" fontId="50" fillId="0" borderId="14" xfId="6" applyFont="1" applyBorder="1" applyAlignment="1" applyProtection="1">
      <alignment vertical="center" wrapText="1"/>
    </xf>
    <xf numFmtId="0" fontId="50" fillId="0" borderId="12" xfId="6" applyFont="1" applyBorder="1" applyAlignment="1" applyProtection="1">
      <alignment vertical="center" wrapText="1"/>
    </xf>
    <xf numFmtId="0" fontId="45" fillId="0" borderId="0" xfId="6" applyFont="1" applyBorder="1" applyAlignment="1" applyProtection="1">
      <alignment horizontal="center" vertical="center" wrapText="1"/>
    </xf>
    <xf numFmtId="0" fontId="45" fillId="0" borderId="5" xfId="6" applyFont="1" applyBorder="1" applyAlignment="1" applyProtection="1">
      <alignment horizontal="center" vertical="center" wrapText="1"/>
    </xf>
    <xf numFmtId="0" fontId="45" fillId="0" borderId="0" xfId="6" applyFont="1" applyBorder="1" applyAlignment="1" applyProtection="1">
      <alignment horizontal="center" vertical="center" wrapText="1"/>
      <protection locked="0"/>
    </xf>
    <xf numFmtId="0" fontId="44" fillId="0" borderId="5" xfId="6" applyFont="1" applyBorder="1" applyAlignment="1" applyProtection="1">
      <alignment horizontal="center" vertical="center" wrapText="1"/>
    </xf>
    <xf numFmtId="0" fontId="45" fillId="7" borderId="0" xfId="9" applyFont="1" applyFill="1" applyBorder="1" applyAlignment="1" applyProtection="1">
      <alignment vertical="center" wrapText="1"/>
    </xf>
    <xf numFmtId="0" fontId="44" fillId="0" borderId="7" xfId="6" applyFont="1" applyBorder="1" applyAlignment="1" applyProtection="1">
      <alignment horizontal="center" vertical="center" wrapText="1"/>
    </xf>
    <xf numFmtId="0" fontId="45" fillId="0" borderId="7" xfId="6" applyFont="1" applyBorder="1" applyAlignment="1" applyProtection="1">
      <alignment horizontal="center" vertical="center" wrapText="1"/>
    </xf>
    <xf numFmtId="0" fontId="45" fillId="0" borderId="2" xfId="6" applyFont="1" applyBorder="1" applyAlignment="1" applyProtection="1">
      <alignment horizontal="center" vertical="center" wrapText="1"/>
    </xf>
    <xf numFmtId="0" fontId="45" fillId="0" borderId="9" xfId="6" applyFont="1" applyBorder="1" applyAlignment="1" applyProtection="1">
      <alignment horizontal="center" vertical="center" wrapText="1"/>
    </xf>
    <xf numFmtId="0" fontId="42" fillId="0" borderId="39" xfId="9" applyFont="1" applyBorder="1" applyAlignment="1" applyProtection="1">
      <alignment horizontal="center" vertical="center"/>
    </xf>
    <xf numFmtId="10" fontId="42" fillId="0" borderId="27" xfId="2" applyNumberFormat="1" applyFont="1" applyFill="1" applyBorder="1" applyAlignment="1" applyProtection="1">
      <alignment vertical="center" wrapText="1"/>
      <protection hidden="1"/>
    </xf>
    <xf numFmtId="10" fontId="42" fillId="0" borderId="27" xfId="2" applyNumberFormat="1" applyFont="1" applyBorder="1" applyAlignment="1" applyProtection="1">
      <alignment vertical="center" wrapText="1"/>
      <protection hidden="1"/>
    </xf>
    <xf numFmtId="10" fontId="42" fillId="0" borderId="40" xfId="2" applyNumberFormat="1" applyFont="1" applyBorder="1" applyAlignment="1" applyProtection="1">
      <alignment vertical="center" wrapText="1"/>
      <protection hidden="1"/>
    </xf>
    <xf numFmtId="10" fontId="42" fillId="0" borderId="35" xfId="2" applyNumberFormat="1" applyFont="1" applyBorder="1" applyAlignment="1" applyProtection="1">
      <alignment horizontal="center" vertical="center" wrapText="1"/>
      <protection hidden="1"/>
    </xf>
    <xf numFmtId="0" fontId="42" fillId="0" borderId="9" xfId="9" applyFont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4" fontId="41" fillId="1" borderId="13" xfId="9" applyNumberFormat="1" applyFont="1" applyFill="1" applyBorder="1" applyAlignment="1" applyProtection="1">
      <alignment horizontal="center" vertical="center"/>
    </xf>
    <xf numFmtId="0" fontId="42" fillId="7" borderId="0" xfId="9" applyFont="1" applyFill="1" applyBorder="1" applyAlignment="1" applyProtection="1">
      <alignment horizontal="center" vertical="center"/>
    </xf>
    <xf numFmtId="0" fontId="42" fillId="7" borderId="0" xfId="9" applyFont="1" applyFill="1" applyAlignment="1" applyProtection="1">
      <alignment horizontal="center" vertical="center"/>
    </xf>
    <xf numFmtId="44" fontId="42" fillId="0" borderId="35" xfId="1" applyFont="1" applyFill="1" applyBorder="1" applyAlignment="1" applyProtection="1">
      <alignment horizontal="center" vertical="center" wrapText="1"/>
      <protection hidden="1"/>
    </xf>
    <xf numFmtId="0" fontId="41" fillId="7" borderId="0" xfId="9" applyFont="1" applyFill="1" applyBorder="1" applyAlignment="1" applyProtection="1">
      <alignment horizontal="center" vertical="center"/>
    </xf>
    <xf numFmtId="10" fontId="41" fillId="0" borderId="1" xfId="2" applyNumberFormat="1" applyFont="1" applyBorder="1" applyAlignment="1" applyProtection="1">
      <alignment horizontal="center" vertical="center" wrapText="1"/>
      <protection hidden="1"/>
    </xf>
    <xf numFmtId="0" fontId="41" fillId="7" borderId="0" xfId="9" applyFont="1" applyFill="1" applyBorder="1" applyAlignment="1" applyProtection="1">
      <alignment horizontal="right" vertical="center"/>
    </xf>
    <xf numFmtId="167" fontId="42" fillId="0" borderId="0" xfId="10" applyNumberFormat="1" applyFont="1" applyBorder="1" applyAlignment="1" applyProtection="1">
      <alignment horizontal="center" vertical="center"/>
    </xf>
    <xf numFmtId="0" fontId="42" fillId="7" borderId="0" xfId="9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41" fillId="0" borderId="0" xfId="9" applyNumberFormat="1" applyFont="1" applyBorder="1" applyAlignment="1" applyProtection="1">
      <alignment vertical="center" wrapText="1"/>
    </xf>
    <xf numFmtId="0" fontId="42" fillId="0" borderId="0" xfId="9" applyNumberFormat="1" applyFont="1" applyBorder="1" applyAlignment="1" applyProtection="1">
      <alignment vertical="center" wrapText="1"/>
    </xf>
    <xf numFmtId="0" fontId="42" fillId="7" borderId="0" xfId="9" applyFont="1" applyFill="1" applyBorder="1" applyAlignment="1" applyProtection="1">
      <alignment vertical="center"/>
    </xf>
    <xf numFmtId="14" fontId="41" fillId="7" borderId="0" xfId="9" applyNumberFormat="1" applyFont="1" applyFill="1" applyBorder="1" applyAlignment="1" applyProtection="1">
      <alignment horizontal="center" vertical="center"/>
    </xf>
    <xf numFmtId="0" fontId="37" fillId="0" borderId="29" xfId="9" applyBorder="1" applyAlignment="1" applyProtection="1">
      <alignment horizontal="left" vertical="center"/>
    </xf>
    <xf numFmtId="0" fontId="42" fillId="0" borderId="0" xfId="9" applyFont="1" applyBorder="1" applyAlignment="1" applyProtection="1">
      <alignment horizontal="center" vertical="center" wrapText="1"/>
    </xf>
    <xf numFmtId="0" fontId="52" fillId="0" borderId="0" xfId="9" applyFont="1" applyBorder="1" applyAlignment="1" applyProtection="1">
      <alignment horizontal="center" vertical="center"/>
    </xf>
    <xf numFmtId="0" fontId="36" fillId="0" borderId="0" xfId="0" applyFont="1" applyBorder="1" applyAlignment="1" applyProtection="1">
      <alignment horizontal="center" vertical="center"/>
    </xf>
    <xf numFmtId="4" fontId="42" fillId="7" borderId="0" xfId="9" applyNumberFormat="1" applyFont="1" applyFill="1" applyBorder="1" applyAlignment="1" applyProtection="1">
      <alignment vertical="center"/>
    </xf>
    <xf numFmtId="14" fontId="41" fillId="0" borderId="1" xfId="9" applyNumberFormat="1" applyFont="1" applyBorder="1" applyAlignment="1" applyProtection="1">
      <alignment horizontal="center" vertical="center" wrapText="1"/>
      <protection locked="0"/>
    </xf>
    <xf numFmtId="167" fontId="42" fillId="0" borderId="15" xfId="1" applyNumberFormat="1" applyFont="1" applyBorder="1" applyAlignment="1" applyProtection="1">
      <alignment horizontal="center" vertical="center" wrapText="1"/>
      <protection hidden="1"/>
    </xf>
    <xf numFmtId="10" fontId="42" fillId="0" borderId="35" xfId="1" applyNumberFormat="1" applyFont="1" applyBorder="1" applyAlignment="1" applyProtection="1">
      <alignment horizontal="center" vertical="center" wrapText="1"/>
      <protection hidden="1"/>
    </xf>
    <xf numFmtId="0" fontId="42" fillId="0" borderId="7" xfId="9" applyFont="1" applyBorder="1" applyAlignment="1" applyProtection="1">
      <alignment vertical="center"/>
    </xf>
    <xf numFmtId="0" fontId="37" fillId="0" borderId="7" xfId="9" applyBorder="1" applyAlignment="1" applyProtection="1">
      <alignment vertical="center"/>
    </xf>
    <xf numFmtId="0" fontId="37" fillId="0" borderId="6" xfId="9" applyBorder="1" applyAlignment="1" applyProtection="1">
      <alignment vertical="center"/>
    </xf>
    <xf numFmtId="0" fontId="0" fillId="0" borderId="0" xfId="0" applyBorder="1" applyAlignment="1" applyProtection="1">
      <alignment horizontal="left" vertical="center" indent="1"/>
    </xf>
    <xf numFmtId="167" fontId="42" fillId="0" borderId="7" xfId="10" applyNumberFormat="1" applyFont="1" applyBorder="1" applyAlignment="1" applyProtection="1">
      <alignment horizontal="center" vertical="center"/>
    </xf>
    <xf numFmtId="0" fontId="41" fillId="0" borderId="6" xfId="9" applyNumberFormat="1" applyFont="1" applyBorder="1" applyAlignment="1" applyProtection="1">
      <alignment vertical="center" wrapText="1"/>
    </xf>
    <xf numFmtId="0" fontId="42" fillId="0" borderId="6" xfId="9" applyNumberFormat="1" applyFont="1" applyBorder="1" applyAlignment="1" applyProtection="1">
      <alignment vertical="center" wrapText="1"/>
    </xf>
    <xf numFmtId="0" fontId="58" fillId="0" borderId="7" xfId="9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167" fontId="42" fillId="0" borderId="36" xfId="1" applyNumberFormat="1" applyFont="1" applyBorder="1" applyAlignment="1" applyProtection="1">
      <alignment horizontal="center" vertical="center"/>
      <protection hidden="1"/>
    </xf>
    <xf numFmtId="167" fontId="42" fillId="0" borderId="11" xfId="1" applyNumberFormat="1" applyFont="1" applyBorder="1" applyAlignment="1" applyProtection="1">
      <alignment horizontal="center" vertical="center"/>
      <protection hidden="1"/>
    </xf>
    <xf numFmtId="167" fontId="42" fillId="0" borderId="15" xfId="1" applyNumberFormat="1" applyFont="1" applyBorder="1" applyAlignment="1" applyProtection="1">
      <alignment horizontal="center" vertical="center"/>
      <protection hidden="1"/>
    </xf>
    <xf numFmtId="44" fontId="42" fillId="0" borderId="35" xfId="1" applyFont="1" applyFill="1" applyBorder="1" applyAlignment="1" applyProtection="1">
      <alignment horizontal="center" vertical="center"/>
      <protection hidden="1"/>
    </xf>
    <xf numFmtId="44" fontId="41" fillId="0" borderId="35" xfId="1" applyFont="1" applyFill="1" applyBorder="1" applyAlignment="1" applyProtection="1">
      <alignment horizontal="center" vertical="center"/>
      <protection hidden="1"/>
    </xf>
    <xf numFmtId="0" fontId="25" fillId="6" borderId="13" xfId="3" applyFont="1" applyFill="1" applyBorder="1" applyAlignment="1">
      <alignment horizontal="center" vertical="top" wrapText="1"/>
    </xf>
    <xf numFmtId="0" fontId="25" fillId="6" borderId="5" xfId="3" applyFont="1" applyFill="1" applyBorder="1" applyAlignment="1">
      <alignment horizontal="center" vertical="top" wrapText="1"/>
    </xf>
    <xf numFmtId="0" fontId="21" fillId="5" borderId="1" xfId="3" applyFill="1" applyBorder="1" applyAlignment="1">
      <alignment horizontal="left" vertical="top" wrapText="1"/>
    </xf>
    <xf numFmtId="44" fontId="0" fillId="0" borderId="0" xfId="0" applyNumberFormat="1"/>
    <xf numFmtId="0" fontId="21" fillId="0" borderId="9" xfId="3" applyFont="1" applyBorder="1" applyAlignment="1">
      <alignment vertical="top" wrapText="1"/>
    </xf>
    <xf numFmtId="10" fontId="33" fillId="6" borderId="26" xfId="3" applyNumberFormat="1" applyFont="1" applyFill="1" applyBorder="1" applyAlignment="1">
      <alignment horizontal="center" vertical="top" wrapText="1"/>
    </xf>
    <xf numFmtId="0" fontId="33" fillId="0" borderId="2" xfId="3" applyFont="1" applyBorder="1" applyAlignment="1" applyProtection="1">
      <alignment horizontal="center" vertical="top" wrapText="1"/>
    </xf>
    <xf numFmtId="10" fontId="33" fillId="6" borderId="7" xfId="3" applyNumberFormat="1" applyFont="1" applyFill="1" applyBorder="1" applyAlignment="1">
      <alignment horizontal="center" vertical="top" wrapText="1"/>
    </xf>
    <xf numFmtId="165" fontId="33" fillId="5" borderId="12" xfId="3" applyNumberFormat="1" applyFont="1" applyFill="1" applyBorder="1" applyAlignment="1" applyProtection="1">
      <alignment horizontal="center" vertical="top" wrapText="1"/>
    </xf>
    <xf numFmtId="0" fontId="32" fillId="5" borderId="12" xfId="3" applyFont="1" applyFill="1" applyBorder="1" applyAlignment="1">
      <alignment horizontal="left" vertical="top" wrapText="1"/>
    </xf>
    <xf numFmtId="0" fontId="21" fillId="5" borderId="7" xfId="3" applyFill="1" applyBorder="1" applyAlignment="1">
      <alignment horizontal="left" vertical="top" wrapText="1"/>
    </xf>
    <xf numFmtId="0" fontId="1" fillId="0" borderId="7" xfId="0" applyFont="1" applyBorder="1" applyAlignment="1"/>
    <xf numFmtId="0" fontId="22" fillId="0" borderId="0" xfId="3" applyFont="1" applyBorder="1" applyAlignment="1"/>
    <xf numFmtId="0" fontId="23" fillId="0" borderId="0" xfId="3" applyFont="1" applyBorder="1" applyAlignment="1"/>
    <xf numFmtId="0" fontId="24" fillId="5" borderId="0" xfId="3" applyFont="1" applyFill="1" applyBorder="1" applyAlignment="1">
      <alignment vertical="top" wrapText="1"/>
    </xf>
    <xf numFmtId="0" fontId="21" fillId="0" borderId="0" xfId="3" applyBorder="1" applyAlignment="1">
      <alignment vertical="top" wrapText="1"/>
    </xf>
    <xf numFmtId="165" fontId="31" fillId="5" borderId="1" xfId="3" applyNumberFormat="1" applyFont="1" applyFill="1" applyBorder="1" applyAlignment="1" applyProtection="1">
      <alignment horizontal="right" vertical="top" wrapText="1"/>
    </xf>
    <xf numFmtId="165" fontId="31" fillId="5" borderId="34" xfId="3" applyNumberFormat="1" applyFont="1" applyFill="1" applyBorder="1" applyAlignment="1" applyProtection="1">
      <alignment horizontal="right" vertical="top" wrapText="1"/>
    </xf>
    <xf numFmtId="0" fontId="26" fillId="6" borderId="7" xfId="3" applyFont="1" applyFill="1" applyBorder="1" applyAlignment="1">
      <alignment horizontal="right" vertical="top" wrapText="1"/>
    </xf>
    <xf numFmtId="0" fontId="33" fillId="0" borderId="9" xfId="3" applyFont="1" applyBorder="1" applyAlignment="1" applyProtection="1">
      <alignment horizontal="center" vertical="top" wrapText="1"/>
    </xf>
    <xf numFmtId="164" fontId="33" fillId="0" borderId="9" xfId="3" applyNumberFormat="1" applyFont="1" applyBorder="1" applyAlignment="1" applyProtection="1">
      <alignment horizontal="center" vertical="top" wrapText="1"/>
    </xf>
    <xf numFmtId="165" fontId="33" fillId="0" borderId="28" xfId="3" applyNumberFormat="1" applyFont="1" applyBorder="1" applyAlignment="1" applyProtection="1">
      <alignment horizontal="center" vertical="top" wrapText="1"/>
    </xf>
    <xf numFmtId="0" fontId="21" fillId="0" borderId="2" xfId="3" applyBorder="1"/>
    <xf numFmtId="0" fontId="8" fillId="0" borderId="1" xfId="0" applyFont="1" applyBorder="1" applyAlignment="1">
      <alignment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horizontal="left" wrapText="1"/>
    </xf>
    <xf numFmtId="0" fontId="1" fillId="0" borderId="1" xfId="0" quotePrefix="1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44" fontId="1" fillId="0" borderId="1" xfId="1" applyFont="1" applyFill="1" applyBorder="1" applyAlignment="1">
      <alignment wrapText="1"/>
    </xf>
    <xf numFmtId="0" fontId="15" fillId="0" borderId="1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41" fillId="0" borderId="0" xfId="9" applyFont="1" applyBorder="1" applyAlignment="1" applyProtection="1">
      <alignment horizontal="center" vertical="center"/>
    </xf>
    <xf numFmtId="0" fontId="41" fillId="2" borderId="1" xfId="9" applyFont="1" applyFill="1" applyBorder="1" applyAlignment="1" applyProtection="1">
      <alignment horizontal="center" vertical="center"/>
    </xf>
    <xf numFmtId="0" fontId="37" fillId="0" borderId="0" xfId="9" applyBorder="1" applyAlignment="1" applyProtection="1">
      <alignment horizontal="left" vertical="center"/>
    </xf>
    <xf numFmtId="0" fontId="37" fillId="0" borderId="7" xfId="9" applyBorder="1" applyAlignment="1" applyProtection="1">
      <alignment horizontal="left" vertical="center"/>
    </xf>
    <xf numFmtId="10" fontId="42" fillId="0" borderId="1" xfId="2" applyNumberFormat="1" applyFont="1" applyBorder="1" applyAlignment="1" applyProtection="1">
      <alignment vertical="center" wrapText="1"/>
      <protection hidden="1"/>
    </xf>
    <xf numFmtId="164" fontId="33" fillId="0" borderId="15" xfId="1" applyNumberFormat="1" applyFont="1" applyBorder="1" applyAlignment="1" applyProtection="1">
      <alignment horizontal="center" vertical="top" wrapText="1"/>
    </xf>
    <xf numFmtId="165" fontId="32" fillId="0" borderId="0" xfId="4" applyNumberFormat="1" applyFont="1" applyBorder="1" applyAlignment="1" applyProtection="1">
      <alignment horizontal="left" vertical="top"/>
    </xf>
    <xf numFmtId="10" fontId="33" fillId="6" borderId="13" xfId="2" applyNumberFormat="1" applyFont="1" applyFill="1" applyBorder="1" applyAlignment="1">
      <alignment horizontal="center" vertical="top" wrapText="1"/>
    </xf>
    <xf numFmtId="0" fontId="21" fillId="6" borderId="6" xfId="3" applyFill="1" applyBorder="1" applyAlignment="1">
      <alignment horizontal="left" vertical="top" wrapText="1"/>
    </xf>
    <xf numFmtId="0" fontId="21" fillId="6" borderId="0" xfId="3" applyFill="1" applyBorder="1" applyAlignment="1">
      <alignment horizontal="left" vertical="top" wrapText="1"/>
    </xf>
    <xf numFmtId="0" fontId="25" fillId="6" borderId="7" xfId="3" applyFont="1" applyFill="1" applyBorder="1" applyAlignment="1">
      <alignment horizontal="right" vertical="top" wrapText="1"/>
    </xf>
    <xf numFmtId="0" fontId="25" fillId="6" borderId="11" xfId="3" applyFont="1" applyFill="1" applyBorder="1" applyAlignment="1">
      <alignment horizontal="center" vertical="top" wrapText="1"/>
    </xf>
    <xf numFmtId="0" fontId="32" fillId="5" borderId="4" xfId="3" applyFont="1" applyFill="1" applyBorder="1" applyAlignment="1">
      <alignment horizontal="left" vertical="top" wrapText="1"/>
    </xf>
    <xf numFmtId="0" fontId="32" fillId="5" borderId="0" xfId="3" applyFont="1" applyFill="1" applyBorder="1" applyAlignment="1">
      <alignment horizontal="left" vertical="top" wrapText="1"/>
    </xf>
    <xf numFmtId="0" fontId="32" fillId="5" borderId="13" xfId="3" applyFont="1" applyFill="1" applyBorder="1" applyAlignment="1">
      <alignment horizontal="left" vertical="top" wrapText="1"/>
    </xf>
    <xf numFmtId="0" fontId="21" fillId="5" borderId="6" xfId="3" applyFill="1" applyBorder="1" applyAlignment="1">
      <alignment horizontal="left" vertical="top" wrapText="1"/>
    </xf>
    <xf numFmtId="0" fontId="32" fillId="0" borderId="0" xfId="4" applyNumberFormat="1" applyFont="1" applyBorder="1" applyAlignment="1" applyProtection="1">
      <alignment horizontal="left" vertical="top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0" fontId="2" fillId="2" borderId="10" xfId="0" applyNumberFormat="1" applyFont="1" applyFill="1" applyBorder="1" applyAlignment="1">
      <alignment horizontal="left"/>
    </xf>
    <xf numFmtId="10" fontId="2" fillId="2" borderId="12" xfId="0" applyNumberFormat="1" applyFont="1" applyFill="1" applyBorder="1" applyAlignment="1">
      <alignment horizontal="left"/>
    </xf>
    <xf numFmtId="44" fontId="1" fillId="0" borderId="10" xfId="1" applyFont="1" applyBorder="1" applyAlignment="1">
      <alignment horizontal="center" wrapText="1"/>
    </xf>
    <xf numFmtId="44" fontId="1" fillId="0" borderId="12" xfId="1" applyFont="1" applyBorder="1" applyAlignment="1">
      <alignment horizontal="center" wrapText="1"/>
    </xf>
    <xf numFmtId="44" fontId="1" fillId="0" borderId="10" xfId="1" applyFont="1" applyBorder="1" applyAlignment="1">
      <alignment horizontal="center"/>
    </xf>
    <xf numFmtId="44" fontId="1" fillId="0" borderId="12" xfId="1" applyFont="1" applyBorder="1" applyAlignment="1">
      <alignment horizontal="center"/>
    </xf>
    <xf numFmtId="44" fontId="29" fillId="0" borderId="10" xfId="0" applyNumberFormat="1" applyFont="1" applyBorder="1" applyAlignment="1">
      <alignment horizontal="center" vertical="top" wrapText="1"/>
    </xf>
    <xf numFmtId="44" fontId="29" fillId="0" borderId="12" xfId="0" applyNumberFormat="1" applyFont="1" applyBorder="1" applyAlignment="1">
      <alignment horizontal="center" vertical="top" wrapText="1"/>
    </xf>
    <xf numFmtId="44" fontId="29" fillId="0" borderId="10" xfId="0" applyNumberFormat="1" applyFont="1" applyBorder="1" applyAlignment="1">
      <alignment horizontal="center" vertical="center" wrapText="1"/>
    </xf>
    <xf numFmtId="44" fontId="29" fillId="0" borderId="12" xfId="0" applyNumberFormat="1" applyFont="1" applyBorder="1" applyAlignment="1">
      <alignment horizontal="center" vertical="center" wrapText="1"/>
    </xf>
    <xf numFmtId="44" fontId="33" fillId="0" borderId="10" xfId="1" applyFont="1" applyBorder="1" applyAlignment="1">
      <alignment horizontal="center" vertical="center" wrapText="1"/>
    </xf>
    <xf numFmtId="44" fontId="33" fillId="0" borderId="12" xfId="1" applyFont="1" applyBorder="1" applyAlignment="1">
      <alignment horizontal="center" vertical="center" wrapText="1"/>
    </xf>
    <xf numFmtId="44" fontId="33" fillId="0" borderId="10" xfId="1" applyFont="1" applyBorder="1" applyAlignment="1">
      <alignment horizontal="center" wrapText="1"/>
    </xf>
    <xf numFmtId="44" fontId="33" fillId="0" borderId="12" xfId="1" applyFont="1" applyBorder="1" applyAlignment="1">
      <alignment horizontal="center" wrapText="1"/>
    </xf>
    <xf numFmtId="44" fontId="1" fillId="2" borderId="10" xfId="0" applyNumberFormat="1" applyFont="1" applyFill="1" applyBorder="1" applyAlignment="1">
      <alignment horizontal="center"/>
    </xf>
    <xf numFmtId="44" fontId="1" fillId="2" borderId="12" xfId="0" applyNumberFormat="1" applyFont="1" applyFill="1" applyBorder="1" applyAlignment="1">
      <alignment horizontal="center"/>
    </xf>
    <xf numFmtId="44" fontId="1" fillId="0" borderId="10" xfId="0" applyNumberFormat="1" applyFont="1" applyFill="1" applyBorder="1" applyAlignment="1">
      <alignment horizontal="center"/>
    </xf>
    <xf numFmtId="44" fontId="1" fillId="0" borderId="12" xfId="0" applyNumberFormat="1" applyFont="1" applyFill="1" applyBorder="1" applyAlignment="1">
      <alignment horizontal="center"/>
    </xf>
    <xf numFmtId="44" fontId="1" fillId="0" borderId="10" xfId="0" applyNumberFormat="1" applyFont="1" applyFill="1" applyBorder="1" applyAlignment="1">
      <alignment horizontal="center" vertical="center" wrapText="1"/>
    </xf>
    <xf numFmtId="44" fontId="1" fillId="0" borderId="12" xfId="0" applyNumberFormat="1" applyFont="1" applyFill="1" applyBorder="1" applyAlignment="1">
      <alignment horizontal="center" vertical="center" wrapText="1"/>
    </xf>
    <xf numFmtId="44" fontId="1" fillId="0" borderId="10" xfId="0" applyNumberFormat="1" applyFont="1" applyFill="1" applyBorder="1" applyAlignment="1">
      <alignment horizontal="center" wrapText="1"/>
    </xf>
    <xf numFmtId="44" fontId="1" fillId="0" borderId="12" xfId="0" applyNumberFormat="1" applyFont="1" applyFill="1" applyBorder="1" applyAlignment="1">
      <alignment horizontal="center" wrapText="1"/>
    </xf>
    <xf numFmtId="44" fontId="11" fillId="0" borderId="10" xfId="0" applyNumberFormat="1" applyFont="1" applyFill="1" applyBorder="1" applyAlignment="1">
      <alignment horizontal="center" wrapText="1"/>
    </xf>
    <xf numFmtId="44" fontId="11" fillId="0" borderId="12" xfId="0" applyNumberFormat="1" applyFont="1" applyFill="1" applyBorder="1" applyAlignment="1">
      <alignment horizontal="center" wrapText="1"/>
    </xf>
    <xf numFmtId="44" fontId="1" fillId="2" borderId="10" xfId="0" applyNumberFormat="1" applyFont="1" applyFill="1" applyBorder="1" applyAlignment="1">
      <alignment horizontal="center" vertical="center"/>
    </xf>
    <xf numFmtId="44" fontId="1" fillId="2" borderId="12" xfId="0" applyNumberFormat="1" applyFont="1" applyFill="1" applyBorder="1" applyAlignment="1">
      <alignment horizontal="center" vertical="center"/>
    </xf>
    <xf numFmtId="44" fontId="1" fillId="0" borderId="10" xfId="0" applyNumberFormat="1" applyFont="1" applyBorder="1" applyAlignment="1">
      <alignment horizontal="center" vertical="center"/>
    </xf>
    <xf numFmtId="44" fontId="1" fillId="0" borderId="12" xfId="0" applyNumberFormat="1" applyFont="1" applyBorder="1" applyAlignment="1">
      <alignment horizontal="center" vertical="center"/>
    </xf>
    <xf numFmtId="44" fontId="1" fillId="0" borderId="10" xfId="0" applyNumberFormat="1" applyFont="1" applyBorder="1" applyAlignment="1">
      <alignment horizontal="center" vertical="center" wrapText="1"/>
    </xf>
    <xf numFmtId="44" fontId="1" fillId="0" borderId="12" xfId="0" applyNumberFormat="1" applyFont="1" applyBorder="1" applyAlignment="1">
      <alignment horizontal="center" vertical="center" wrapText="1"/>
    </xf>
    <xf numFmtId="44" fontId="1" fillId="0" borderId="10" xfId="0" applyNumberFormat="1" applyFont="1" applyFill="1" applyBorder="1" applyAlignment="1">
      <alignment horizontal="center" vertical="center"/>
    </xf>
    <xf numFmtId="44" fontId="1" fillId="0" borderId="12" xfId="0" applyNumberFormat="1" applyFont="1" applyFill="1" applyBorder="1" applyAlignment="1">
      <alignment horizontal="center" vertical="center"/>
    </xf>
    <xf numFmtId="44" fontId="1" fillId="0" borderId="10" xfId="0" applyNumberFormat="1" applyFont="1" applyBorder="1" applyAlignment="1">
      <alignment horizontal="center" wrapText="1"/>
    </xf>
    <xf numFmtId="44" fontId="1" fillId="0" borderId="12" xfId="0" applyNumberFormat="1" applyFont="1" applyBorder="1" applyAlignment="1">
      <alignment horizontal="center" wrapText="1"/>
    </xf>
    <xf numFmtId="44" fontId="11" fillId="0" borderId="10" xfId="0" applyNumberFormat="1" applyFont="1" applyBorder="1" applyAlignment="1">
      <alignment horizontal="center" vertical="center" wrapText="1"/>
    </xf>
    <xf numFmtId="44" fontId="11" fillId="0" borderId="12" xfId="0" applyNumberFormat="1" applyFont="1" applyBorder="1" applyAlignment="1">
      <alignment horizontal="center" vertical="center" wrapText="1"/>
    </xf>
    <xf numFmtId="44" fontId="1" fillId="0" borderId="10" xfId="0" applyNumberFormat="1" applyFont="1" applyBorder="1" applyAlignment="1">
      <alignment horizontal="center"/>
    </xf>
    <xf numFmtId="44" fontId="1" fillId="0" borderId="12" xfId="0" applyNumberFormat="1" applyFont="1" applyBorder="1" applyAlignment="1">
      <alignment horizontal="center"/>
    </xf>
    <xf numFmtId="44" fontId="11" fillId="0" borderId="10" xfId="0" applyNumberFormat="1" applyFont="1" applyBorder="1" applyAlignment="1">
      <alignment horizontal="center" vertical="center"/>
    </xf>
    <xf numFmtId="44" fontId="11" fillId="0" borderId="12" xfId="0" applyNumberFormat="1" applyFont="1" applyBorder="1" applyAlignment="1">
      <alignment horizontal="center" vertical="center"/>
    </xf>
    <xf numFmtId="44" fontId="3" fillId="0" borderId="10" xfId="0" applyNumberFormat="1" applyFont="1" applyFill="1" applyBorder="1" applyAlignment="1">
      <alignment horizontal="center"/>
    </xf>
    <xf numFmtId="44" fontId="3" fillId="0" borderId="12" xfId="0" applyNumberFormat="1" applyFont="1" applyFill="1" applyBorder="1" applyAlignment="1">
      <alignment horizontal="center"/>
    </xf>
    <xf numFmtId="44" fontId="1" fillId="0" borderId="10" xfId="0" applyNumberFormat="1" applyFont="1" applyBorder="1" applyAlignment="1">
      <alignment horizontal="center" vertical="top" wrapText="1"/>
    </xf>
    <xf numFmtId="44" fontId="1" fillId="0" borderId="12" xfId="0" applyNumberFormat="1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44" fontId="1" fillId="2" borderId="14" xfId="0" applyNumberFormat="1" applyFont="1" applyFill="1" applyBorder="1" applyAlignment="1">
      <alignment horizontal="center"/>
    </xf>
    <xf numFmtId="44" fontId="3" fillId="2" borderId="10" xfId="1" applyFont="1" applyFill="1" applyBorder="1" applyAlignment="1">
      <alignment horizontal="center"/>
    </xf>
    <xf numFmtId="44" fontId="3" fillId="2" borderId="12" xfId="1" applyFont="1" applyFill="1" applyBorder="1" applyAlignment="1">
      <alignment horizontal="center"/>
    </xf>
    <xf numFmtId="44" fontId="12" fillId="2" borderId="10" xfId="1" applyFont="1" applyFill="1" applyBorder="1" applyAlignment="1">
      <alignment horizontal="center"/>
    </xf>
    <xf numFmtId="44" fontId="12" fillId="2" borderId="12" xfId="1" applyFont="1" applyFill="1" applyBorder="1" applyAlignment="1">
      <alignment horizontal="center"/>
    </xf>
    <xf numFmtId="44" fontId="1" fillId="0" borderId="10" xfId="1" applyFont="1" applyFill="1" applyBorder="1" applyAlignment="1">
      <alignment horizontal="center" wrapText="1"/>
    </xf>
    <xf numFmtId="44" fontId="1" fillId="0" borderId="12" xfId="1" applyFont="1" applyFill="1" applyBorder="1" applyAlignment="1">
      <alignment horizontal="center" wrapText="1"/>
    </xf>
    <xf numFmtId="44" fontId="1" fillId="0" borderId="14" xfId="0" applyNumberFormat="1" applyFont="1" applyFill="1" applyBorder="1" applyAlignment="1">
      <alignment horizontal="center"/>
    </xf>
    <xf numFmtId="44" fontId="1" fillId="2" borderId="10" xfId="1" applyFont="1" applyFill="1" applyBorder="1" applyAlignment="1">
      <alignment horizontal="center"/>
    </xf>
    <xf numFmtId="44" fontId="1" fillId="2" borderId="12" xfId="1" applyFont="1" applyFill="1" applyBorder="1" applyAlignment="1">
      <alignment horizontal="center"/>
    </xf>
    <xf numFmtId="44" fontId="5" fillId="2" borderId="10" xfId="1" applyFont="1" applyFill="1" applyBorder="1" applyAlignment="1">
      <alignment horizontal="center"/>
    </xf>
    <xf numFmtId="44" fontId="5" fillId="2" borderId="12" xfId="1" applyFont="1" applyFill="1" applyBorder="1" applyAlignment="1">
      <alignment horizontal="center"/>
    </xf>
    <xf numFmtId="44" fontId="11" fillId="0" borderId="10" xfId="1" applyFont="1" applyFill="1" applyBorder="1" applyAlignment="1">
      <alignment horizontal="center"/>
    </xf>
    <xf numFmtId="44" fontId="11" fillId="0" borderId="12" xfId="1" applyFont="1" applyFill="1" applyBorder="1" applyAlignment="1">
      <alignment horizontal="center"/>
    </xf>
    <xf numFmtId="44" fontId="11" fillId="0" borderId="10" xfId="1" applyFont="1" applyFill="1" applyBorder="1" applyAlignment="1">
      <alignment horizontal="center" vertical="center" wrapText="1"/>
    </xf>
    <xf numFmtId="44" fontId="11" fillId="0" borderId="12" xfId="1" applyFont="1" applyFill="1" applyBorder="1" applyAlignment="1">
      <alignment horizontal="center" vertical="center" wrapText="1"/>
    </xf>
    <xf numFmtId="44" fontId="11" fillId="0" borderId="10" xfId="1" applyFont="1" applyFill="1" applyBorder="1" applyAlignment="1">
      <alignment horizontal="center" wrapText="1"/>
    </xf>
    <xf numFmtId="44" fontId="11" fillId="0" borderId="12" xfId="1" applyFont="1" applyFill="1" applyBorder="1" applyAlignment="1">
      <alignment horizontal="center" wrapText="1"/>
    </xf>
    <xf numFmtId="44" fontId="1" fillId="0" borderId="10" xfId="1" applyFont="1" applyFill="1" applyBorder="1" applyAlignment="1">
      <alignment horizontal="center"/>
    </xf>
    <xf numFmtId="44" fontId="1" fillId="0" borderId="12" xfId="1" applyFont="1" applyFill="1" applyBorder="1" applyAlignment="1">
      <alignment horizontal="center"/>
    </xf>
    <xf numFmtId="44" fontId="1" fillId="0" borderId="10" xfId="1" applyFont="1" applyFill="1" applyBorder="1" applyAlignment="1">
      <alignment horizontal="center" vertical="top" wrapText="1"/>
    </xf>
    <xf numFmtId="44" fontId="1" fillId="0" borderId="12" xfId="1" applyFont="1" applyFill="1" applyBorder="1" applyAlignment="1">
      <alignment horizontal="center" vertical="top" wrapText="1"/>
    </xf>
    <xf numFmtId="44" fontId="11" fillId="0" borderId="10" xfId="1" applyFont="1" applyFill="1" applyBorder="1" applyAlignment="1">
      <alignment horizontal="center" vertical="center"/>
    </xf>
    <xf numFmtId="44" fontId="11" fillId="0" borderId="12" xfId="1" applyFont="1" applyFill="1" applyBorder="1" applyAlignment="1">
      <alignment horizontal="center" vertical="center"/>
    </xf>
    <xf numFmtId="44" fontId="11" fillId="0" borderId="10" xfId="1" applyFont="1" applyBorder="1" applyAlignment="1">
      <alignment horizontal="center"/>
    </xf>
    <xf numFmtId="44" fontId="11" fillId="0" borderId="12" xfId="1" applyFont="1" applyBorder="1" applyAlignment="1">
      <alignment horizontal="center"/>
    </xf>
    <xf numFmtId="44" fontId="1" fillId="0" borderId="10" xfId="1" applyFont="1" applyFill="1" applyBorder="1" applyAlignment="1">
      <alignment horizontal="center" vertical="center"/>
    </xf>
    <xf numFmtId="44" fontId="1" fillId="0" borderId="12" xfId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0" fillId="0" borderId="12" xfId="0" applyFill="1" applyBorder="1" applyAlignment="1">
      <alignment wrapText="1"/>
    </xf>
    <xf numFmtId="44" fontId="11" fillId="0" borderId="10" xfId="1" applyFont="1" applyBorder="1" applyAlignment="1">
      <alignment horizontal="center" wrapText="1"/>
    </xf>
    <xf numFmtId="44" fontId="11" fillId="0" borderId="12" xfId="1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44" fontId="1" fillId="0" borderId="10" xfId="1" applyFont="1" applyFill="1" applyBorder="1" applyAlignment="1">
      <alignment horizontal="center" vertical="center" wrapText="1"/>
    </xf>
    <xf numFmtId="44" fontId="1" fillId="0" borderId="12" xfId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26" fillId="6" borderId="19" xfId="3" applyFont="1" applyFill="1" applyBorder="1" applyAlignment="1">
      <alignment horizontal="center" vertical="center" wrapText="1"/>
    </xf>
    <xf numFmtId="0" fontId="28" fillId="6" borderId="20" xfId="3" applyFont="1" applyFill="1" applyBorder="1" applyAlignment="1">
      <alignment horizontal="center" vertical="center" wrapText="1"/>
    </xf>
    <xf numFmtId="0" fontId="21" fillId="0" borderId="2" xfId="3" applyFont="1" applyBorder="1" applyAlignment="1">
      <alignment horizontal="center" vertical="top" wrapText="1"/>
    </xf>
    <xf numFmtId="0" fontId="26" fillId="6" borderId="22" xfId="3" applyFont="1" applyFill="1" applyBorder="1" applyAlignment="1">
      <alignment horizontal="center" vertical="center" wrapText="1"/>
    </xf>
    <xf numFmtId="0" fontId="28" fillId="6" borderId="23" xfId="3" applyFont="1" applyFill="1" applyBorder="1" applyAlignment="1">
      <alignment horizontal="center" vertical="center" wrapText="1"/>
    </xf>
    <xf numFmtId="0" fontId="25" fillId="6" borderId="1" xfId="3" applyFont="1" applyFill="1" applyBorder="1" applyAlignment="1">
      <alignment horizontal="center" vertical="top" wrapText="1"/>
    </xf>
    <xf numFmtId="0" fontId="25" fillId="6" borderId="15" xfId="3" applyFont="1" applyFill="1" applyBorder="1" applyAlignment="1">
      <alignment horizontal="center" vertical="top" wrapText="1"/>
    </xf>
    <xf numFmtId="0" fontId="21" fillId="5" borderId="13" xfId="3" applyFill="1" applyBorder="1" applyAlignment="1">
      <alignment horizontal="left" vertical="top" wrapText="1"/>
    </xf>
    <xf numFmtId="0" fontId="19" fillId="6" borderId="24" xfId="3" applyFont="1" applyFill="1" applyBorder="1" applyAlignment="1">
      <alignment horizontal="center" vertical="center" wrapText="1"/>
    </xf>
    <xf numFmtId="0" fontId="19" fillId="6" borderId="16" xfId="3" applyFont="1" applyFill="1" applyBorder="1" applyAlignment="1">
      <alignment horizontal="center" vertical="center" wrapText="1"/>
    </xf>
    <xf numFmtId="0" fontId="26" fillId="6" borderId="25" xfId="3" applyFont="1" applyFill="1" applyBorder="1" applyAlignment="1">
      <alignment horizontal="center" vertical="center" wrapText="1"/>
    </xf>
    <xf numFmtId="0" fontId="26" fillId="6" borderId="17" xfId="3" applyFont="1" applyFill="1" applyBorder="1" applyAlignment="1">
      <alignment horizontal="center" vertical="center" wrapText="1"/>
    </xf>
    <xf numFmtId="0" fontId="28" fillId="6" borderId="18" xfId="3" applyFont="1" applyFill="1" applyBorder="1" applyAlignment="1">
      <alignment horizontal="center" vertical="center" wrapText="1"/>
    </xf>
    <xf numFmtId="0" fontId="25" fillId="6" borderId="10" xfId="3" applyFont="1" applyFill="1" applyBorder="1" applyAlignment="1">
      <alignment horizontal="center" vertical="top" wrapText="1"/>
    </xf>
    <xf numFmtId="0" fontId="25" fillId="6" borderId="4" xfId="3" applyFont="1" applyFill="1" applyBorder="1" applyAlignment="1">
      <alignment horizontal="center" vertical="top" wrapText="1"/>
    </xf>
    <xf numFmtId="0" fontId="25" fillId="6" borderId="5" xfId="3" applyFont="1" applyFill="1" applyBorder="1" applyAlignment="1">
      <alignment horizontal="center" vertical="top" wrapText="1"/>
    </xf>
    <xf numFmtId="0" fontId="19" fillId="6" borderId="21" xfId="3" applyFont="1" applyFill="1" applyBorder="1" applyAlignment="1">
      <alignment horizontal="center" vertical="center" wrapText="1"/>
    </xf>
    <xf numFmtId="0" fontId="24" fillId="5" borderId="0" xfId="3" applyFont="1" applyFill="1" applyBorder="1" applyAlignment="1">
      <alignment horizontal="left" vertical="top" wrapText="1"/>
    </xf>
    <xf numFmtId="0" fontId="21" fillId="0" borderId="2" xfId="3" applyBorder="1" applyAlignment="1">
      <alignment horizontal="center" vertical="top" wrapText="1"/>
    </xf>
    <xf numFmtId="0" fontId="22" fillId="0" borderId="0" xfId="3" applyFont="1" applyBorder="1" applyAlignment="1">
      <alignment horizontal="center"/>
    </xf>
    <xf numFmtId="0" fontId="21" fillId="0" borderId="0" xfId="3" applyBorder="1" applyAlignment="1">
      <alignment horizontal="center" vertical="top" wrapText="1"/>
    </xf>
    <xf numFmtId="0" fontId="23" fillId="0" borderId="0" xfId="3" applyFont="1" applyBorder="1" applyAlignment="1">
      <alignment horizontal="center"/>
    </xf>
    <xf numFmtId="0" fontId="24" fillId="5" borderId="0" xfId="3" applyFont="1" applyFill="1" applyBorder="1" applyAlignment="1">
      <alignment horizontal="center" vertical="top" wrapText="1"/>
    </xf>
    <xf numFmtId="0" fontId="41" fillId="0" borderId="3" xfId="9" applyFont="1" applyBorder="1" applyAlignment="1" applyProtection="1">
      <alignment horizontal="center" vertical="center"/>
    </xf>
    <xf numFmtId="0" fontId="41" fillId="0" borderId="8" xfId="9" applyFont="1" applyBorder="1" applyAlignment="1" applyProtection="1">
      <alignment horizontal="center" vertical="center"/>
    </xf>
    <xf numFmtId="0" fontId="54" fillId="0" borderId="3" xfId="9" applyFont="1" applyBorder="1" applyAlignment="1" applyProtection="1">
      <alignment horizontal="center" vertical="center" wrapText="1"/>
      <protection locked="0"/>
    </xf>
    <xf numFmtId="0" fontId="54" fillId="0" borderId="5" xfId="9" applyFont="1" applyBorder="1" applyAlignment="1" applyProtection="1">
      <alignment horizontal="center" vertical="center" wrapText="1"/>
      <protection locked="0"/>
    </xf>
    <xf numFmtId="0" fontId="54" fillId="0" borderId="8" xfId="9" applyFont="1" applyBorder="1" applyAlignment="1" applyProtection="1">
      <alignment horizontal="center" vertical="center" wrapText="1"/>
      <protection locked="0"/>
    </xf>
    <xf numFmtId="0" fontId="54" fillId="0" borderId="9" xfId="9" applyFont="1" applyBorder="1" applyAlignment="1" applyProtection="1">
      <alignment horizontal="center" vertical="center" wrapText="1"/>
      <protection locked="0"/>
    </xf>
    <xf numFmtId="10" fontId="42" fillId="0" borderId="40" xfId="2" applyNumberFormat="1" applyFont="1" applyFill="1" applyBorder="1" applyAlignment="1" applyProtection="1">
      <alignment horizontal="center" vertical="center" wrapText="1"/>
      <protection hidden="1"/>
    </xf>
    <xf numFmtId="10" fontId="42" fillId="0" borderId="39" xfId="2" applyNumberFormat="1" applyFont="1" applyFill="1" applyBorder="1" applyAlignment="1" applyProtection="1">
      <alignment horizontal="center" vertical="center" wrapText="1"/>
      <protection hidden="1"/>
    </xf>
    <xf numFmtId="10" fontId="42" fillId="0" borderId="40" xfId="2" applyNumberFormat="1" applyFont="1" applyBorder="1" applyAlignment="1" applyProtection="1">
      <alignment horizontal="center" vertical="center" wrapText="1"/>
      <protection hidden="1"/>
    </xf>
    <xf numFmtId="44" fontId="42" fillId="0" borderId="41" xfId="8" applyNumberFormat="1" applyFont="1" applyBorder="1" applyAlignment="1" applyProtection="1">
      <alignment horizontal="center" vertical="center"/>
      <protection locked="0"/>
    </xf>
    <xf numFmtId="44" fontId="42" fillId="0" borderId="42" xfId="8" applyNumberFormat="1" applyFont="1" applyBorder="1" applyAlignment="1" applyProtection="1">
      <alignment horizontal="center" vertical="center"/>
      <protection locked="0"/>
    </xf>
    <xf numFmtId="44" fontId="42" fillId="0" borderId="43" xfId="8" applyNumberFormat="1" applyFont="1" applyBorder="1" applyAlignment="1" applyProtection="1">
      <alignment horizontal="center" vertical="center"/>
      <protection locked="0"/>
    </xf>
    <xf numFmtId="0" fontId="41" fillId="0" borderId="13" xfId="9" applyFont="1" applyBorder="1" applyAlignment="1" applyProtection="1">
      <alignment horizontal="center" vertical="center"/>
    </xf>
    <xf numFmtId="0" fontId="41" fillId="0" borderId="15" xfId="9" applyFont="1" applyBorder="1" applyAlignment="1" applyProtection="1">
      <alignment horizontal="center" vertical="center"/>
    </xf>
    <xf numFmtId="10" fontId="42" fillId="0" borderId="39" xfId="2" applyNumberFormat="1" applyFont="1" applyBorder="1" applyAlignment="1" applyProtection="1">
      <alignment horizontal="center" vertical="center" wrapText="1"/>
      <protection hidden="1"/>
    </xf>
    <xf numFmtId="44" fontId="42" fillId="0" borderId="44" xfId="8" applyNumberFormat="1" applyFont="1" applyBorder="1" applyAlignment="1" applyProtection="1">
      <alignment horizontal="center" vertical="center"/>
      <protection locked="0"/>
    </xf>
    <xf numFmtId="44" fontId="42" fillId="0" borderId="45" xfId="8" applyNumberFormat="1" applyFont="1" applyBorder="1" applyAlignment="1" applyProtection="1">
      <alignment horizontal="center" vertical="center"/>
      <protection locked="0"/>
    </xf>
    <xf numFmtId="44" fontId="42" fillId="0" borderId="46" xfId="8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41" fillId="2" borderId="1" xfId="9" applyFont="1" applyFill="1" applyBorder="1" applyAlignment="1" applyProtection="1">
      <alignment horizontal="left" vertical="center" wrapText="1"/>
    </xf>
    <xf numFmtId="10" fontId="42" fillId="0" borderId="10" xfId="2" applyNumberFormat="1" applyFont="1" applyBorder="1" applyAlignment="1" applyProtection="1">
      <alignment horizontal="center" vertical="center" wrapText="1"/>
      <protection hidden="1"/>
    </xf>
    <xf numFmtId="10" fontId="42" fillId="0" borderId="14" xfId="2" applyNumberFormat="1" applyFont="1" applyBorder="1" applyAlignment="1" applyProtection="1">
      <alignment horizontal="center" vertical="center" wrapText="1"/>
      <protection hidden="1"/>
    </xf>
    <xf numFmtId="10" fontId="56" fillId="0" borderId="10" xfId="2" applyNumberFormat="1" applyFont="1" applyBorder="1" applyAlignment="1" applyProtection="1">
      <alignment horizontal="center" vertical="center" wrapText="1"/>
      <protection hidden="1"/>
    </xf>
    <xf numFmtId="10" fontId="56" fillId="0" borderId="14" xfId="2" applyNumberFormat="1" applyFont="1" applyBorder="1" applyAlignment="1" applyProtection="1">
      <alignment horizontal="center" vertical="center" wrapText="1"/>
      <protection hidden="1"/>
    </xf>
    <xf numFmtId="10" fontId="56" fillId="0" borderId="12" xfId="2" applyNumberFormat="1" applyFont="1" applyBorder="1" applyAlignment="1" applyProtection="1">
      <alignment horizontal="center" vertical="center" wrapText="1"/>
      <protection hidden="1"/>
    </xf>
    <xf numFmtId="0" fontId="51" fillId="0" borderId="0" xfId="9" applyFont="1" applyBorder="1" applyAlignment="1" applyProtection="1">
      <alignment horizontal="left" vertical="center" wrapText="1"/>
    </xf>
    <xf numFmtId="0" fontId="37" fillId="0" borderId="0" xfId="9" applyBorder="1" applyAlignment="1" applyProtection="1">
      <alignment horizontal="left" vertical="center"/>
    </xf>
    <xf numFmtId="0" fontId="37" fillId="0" borderId="7" xfId="9" applyBorder="1" applyAlignment="1" applyProtection="1">
      <alignment horizontal="left" vertical="center"/>
    </xf>
    <xf numFmtId="0" fontId="6" fillId="0" borderId="0" xfId="9" applyFont="1" applyBorder="1" applyAlignment="1" applyProtection="1">
      <alignment horizontal="left" vertical="center" wrapText="1"/>
      <protection locked="0"/>
    </xf>
    <xf numFmtId="0" fontId="57" fillId="0" borderId="0" xfId="9" applyFont="1" applyBorder="1" applyAlignment="1" applyProtection="1">
      <alignment horizontal="center" vertical="center"/>
      <protection locked="0"/>
    </xf>
    <xf numFmtId="0" fontId="41" fillId="2" borderId="1" xfId="9" applyFont="1" applyFill="1" applyBorder="1" applyAlignment="1" applyProtection="1">
      <alignment horizontal="left" vertical="center"/>
    </xf>
    <xf numFmtId="43" fontId="42" fillId="0" borderId="41" xfId="8" applyFont="1" applyBorder="1" applyAlignment="1" applyProtection="1">
      <alignment horizontal="center" vertical="center" wrapText="1"/>
      <protection locked="0"/>
    </xf>
    <xf numFmtId="43" fontId="42" fillId="0" borderId="42" xfId="8" applyFont="1" applyBorder="1" applyAlignment="1" applyProtection="1">
      <alignment horizontal="center" vertical="center" wrapText="1"/>
      <protection locked="0"/>
    </xf>
    <xf numFmtId="44" fontId="42" fillId="0" borderId="10" xfId="1" applyFont="1" applyBorder="1" applyAlignment="1" applyProtection="1">
      <alignment horizontal="center" vertical="center" wrapText="1"/>
      <protection locked="0"/>
    </xf>
    <xf numFmtId="44" fontId="42" fillId="0" borderId="14" xfId="1" applyFont="1" applyBorder="1" applyAlignment="1" applyProtection="1">
      <alignment horizontal="center" vertical="center" wrapText="1"/>
      <protection locked="0"/>
    </xf>
    <xf numFmtId="44" fontId="42" fillId="0" borderId="12" xfId="1" applyFont="1" applyBorder="1" applyAlignment="1" applyProtection="1">
      <alignment horizontal="center" vertical="center" wrapText="1"/>
      <protection locked="0"/>
    </xf>
    <xf numFmtId="44" fontId="42" fillId="0" borderId="10" xfId="1" applyFont="1" applyBorder="1" applyAlignment="1" applyProtection="1">
      <alignment horizontal="center" vertical="center"/>
      <protection hidden="1"/>
    </xf>
    <xf numFmtId="44" fontId="42" fillId="0" borderId="14" xfId="1" applyFont="1" applyBorder="1" applyAlignment="1" applyProtection="1">
      <alignment horizontal="center" vertical="center"/>
      <protection hidden="1"/>
    </xf>
    <xf numFmtId="44" fontId="42" fillId="0" borderId="12" xfId="1" applyFont="1" applyBorder="1" applyAlignment="1" applyProtection="1">
      <alignment horizontal="center" vertical="center"/>
      <protection hidden="1"/>
    </xf>
    <xf numFmtId="4" fontId="41" fillId="1" borderId="10" xfId="9" applyNumberFormat="1" applyFont="1" applyFill="1" applyBorder="1" applyAlignment="1" applyProtection="1">
      <alignment horizontal="center" vertical="center"/>
    </xf>
    <xf numFmtId="4" fontId="41" fillId="1" borderId="14" xfId="9" applyNumberFormat="1" applyFont="1" applyFill="1" applyBorder="1" applyAlignment="1" applyProtection="1">
      <alignment horizontal="center" vertical="center"/>
    </xf>
    <xf numFmtId="4" fontId="41" fillId="1" borderId="12" xfId="9" applyNumberFormat="1" applyFont="1" applyFill="1" applyBorder="1" applyAlignment="1" applyProtection="1">
      <alignment horizontal="center" vertical="center"/>
    </xf>
    <xf numFmtId="0" fontId="41" fillId="0" borderId="11" xfId="9" applyFont="1" applyBorder="1" applyAlignment="1" applyProtection="1">
      <alignment horizontal="center" vertical="center"/>
    </xf>
    <xf numFmtId="0" fontId="54" fillId="0" borderId="6" xfId="9" applyFont="1" applyBorder="1" applyAlignment="1" applyProtection="1">
      <alignment horizontal="center" vertical="center" wrapText="1"/>
      <protection locked="0"/>
    </xf>
    <xf numFmtId="0" fontId="54" fillId="0" borderId="7" xfId="9" applyFont="1" applyBorder="1" applyAlignment="1" applyProtection="1">
      <alignment horizontal="center" vertical="center" wrapText="1"/>
      <protection locked="0"/>
    </xf>
    <xf numFmtId="44" fontId="42" fillId="0" borderId="6" xfId="8" applyNumberFormat="1" applyFont="1" applyBorder="1" applyAlignment="1" applyProtection="1">
      <alignment horizontal="center" vertical="center"/>
      <protection locked="0"/>
    </xf>
    <xf numFmtId="43" fontId="42" fillId="0" borderId="41" xfId="8" applyFont="1" applyBorder="1" applyAlignment="1" applyProtection="1">
      <alignment horizontal="center" vertical="center"/>
      <protection locked="0"/>
    </xf>
    <xf numFmtId="43" fontId="42" fillId="0" borderId="42" xfId="8" applyFont="1" applyBorder="1" applyAlignment="1" applyProtection="1">
      <alignment horizontal="center" vertical="center"/>
      <protection locked="0"/>
    </xf>
    <xf numFmtId="43" fontId="42" fillId="0" borderId="43" xfId="8" applyFont="1" applyBorder="1" applyAlignment="1" applyProtection="1">
      <alignment horizontal="center" vertical="center"/>
      <protection locked="0"/>
    </xf>
    <xf numFmtId="0" fontId="55" fillId="0" borderId="5" xfId="0" applyFont="1" applyBorder="1" applyAlignment="1">
      <alignment horizontal="center"/>
    </xf>
    <xf numFmtId="0" fontId="55" fillId="0" borderId="8" xfId="0" applyFont="1" applyBorder="1" applyAlignment="1">
      <alignment horizontal="center"/>
    </xf>
    <xf numFmtId="0" fontId="55" fillId="0" borderId="9" xfId="0" applyFont="1" applyBorder="1" applyAlignment="1">
      <alignment horizontal="center"/>
    </xf>
    <xf numFmtId="0" fontId="41" fillId="0" borderId="14" xfId="6" applyFont="1" applyBorder="1" applyAlignment="1" applyProtection="1">
      <alignment horizontal="left" vertical="center" wrapText="1"/>
    </xf>
    <xf numFmtId="0" fontId="41" fillId="0" borderId="12" xfId="6" applyFont="1" applyBorder="1" applyAlignment="1" applyProtection="1">
      <alignment horizontal="left" vertical="center" wrapText="1"/>
    </xf>
    <xf numFmtId="0" fontId="45" fillId="0" borderId="6" xfId="6" applyFont="1" applyBorder="1" applyAlignment="1" applyProtection="1">
      <alignment horizontal="left" vertical="center" wrapText="1" indent="1"/>
    </xf>
    <xf numFmtId="0" fontId="45" fillId="0" borderId="0" xfId="6" applyFont="1" applyBorder="1" applyAlignment="1" applyProtection="1">
      <alignment horizontal="left" vertical="center" wrapText="1" indent="1"/>
    </xf>
    <xf numFmtId="0" fontId="45" fillId="0" borderId="8" xfId="6" applyFont="1" applyBorder="1" applyAlignment="1" applyProtection="1">
      <alignment horizontal="left" vertical="center" wrapText="1" indent="1"/>
    </xf>
    <xf numFmtId="0" fontId="45" fillId="0" borderId="2" xfId="6" applyFont="1" applyBorder="1" applyAlignment="1" applyProtection="1">
      <alignment horizontal="left" vertical="center" wrapText="1" indent="1"/>
    </xf>
    <xf numFmtId="0" fontId="41" fillId="0" borderId="1" xfId="9" applyFont="1" applyBorder="1" applyAlignment="1" applyProtection="1">
      <alignment horizontal="center" vertical="center" wrapText="1"/>
    </xf>
    <xf numFmtId="0" fontId="41" fillId="0" borderId="10" xfId="9" applyFont="1" applyBorder="1" applyAlignment="1" applyProtection="1">
      <alignment horizontal="center" vertical="center" wrapText="1"/>
    </xf>
    <xf numFmtId="0" fontId="42" fillId="0" borderId="14" xfId="9" applyFont="1" applyBorder="1" applyAlignment="1" applyProtection="1">
      <alignment horizontal="left" vertical="center" wrapText="1"/>
      <protection hidden="1"/>
    </xf>
    <xf numFmtId="0" fontId="42" fillId="0" borderId="12" xfId="9" applyFont="1" applyBorder="1" applyAlignment="1" applyProtection="1">
      <alignment horizontal="left" vertical="center" wrapText="1"/>
      <protection hidden="1"/>
    </xf>
    <xf numFmtId="0" fontId="38" fillId="0" borderId="3" xfId="9" applyFont="1" applyBorder="1" applyAlignment="1" applyProtection="1">
      <alignment horizontal="center" vertical="center" wrapText="1"/>
      <protection locked="0"/>
    </xf>
    <xf numFmtId="0" fontId="38" fillId="0" borderId="4" xfId="9" applyFont="1" applyBorder="1" applyAlignment="1" applyProtection="1">
      <alignment horizontal="center" vertical="center" wrapText="1"/>
      <protection locked="0"/>
    </xf>
    <xf numFmtId="0" fontId="38" fillId="0" borderId="6" xfId="9" applyFont="1" applyBorder="1" applyAlignment="1" applyProtection="1">
      <alignment horizontal="center" vertical="center" wrapText="1"/>
      <protection locked="0"/>
    </xf>
    <xf numFmtId="0" fontId="38" fillId="0" borderId="0" xfId="9" applyFont="1" applyBorder="1" applyAlignment="1" applyProtection="1">
      <alignment horizontal="center" vertical="center" wrapText="1"/>
      <protection locked="0"/>
    </xf>
    <xf numFmtId="0" fontId="39" fillId="0" borderId="4" xfId="9" applyFont="1" applyBorder="1" applyAlignment="1" applyProtection="1">
      <alignment horizontal="center" vertical="center"/>
    </xf>
    <xf numFmtId="0" fontId="39" fillId="0" borderId="5" xfId="9" applyFont="1" applyBorder="1" applyAlignment="1" applyProtection="1">
      <alignment horizontal="center" vertical="center"/>
    </xf>
    <xf numFmtId="0" fontId="39" fillId="0" borderId="0" xfId="9" applyFont="1" applyBorder="1" applyAlignment="1" applyProtection="1">
      <alignment horizontal="center" vertical="center"/>
    </xf>
    <xf numFmtId="0" fontId="39" fillId="0" borderId="7" xfId="9" applyFont="1" applyBorder="1" applyAlignment="1" applyProtection="1">
      <alignment horizontal="center" vertical="center"/>
    </xf>
    <xf numFmtId="0" fontId="41" fillId="0" borderId="0" xfId="9" applyFont="1" applyBorder="1" applyAlignment="1" applyProtection="1">
      <alignment horizontal="center" vertical="center"/>
    </xf>
    <xf numFmtId="0" fontId="41" fillId="0" borderId="7" xfId="9" applyFont="1" applyBorder="1" applyAlignment="1" applyProtection="1">
      <alignment horizontal="center" vertical="center"/>
    </xf>
    <xf numFmtId="49" fontId="43" fillId="0" borderId="1" xfId="9" applyNumberFormat="1" applyFont="1" applyBorder="1" applyAlignment="1" applyProtection="1">
      <alignment horizontal="left" vertical="center" wrapText="1" indent="1"/>
      <protection locked="0"/>
    </xf>
    <xf numFmtId="0" fontId="41" fillId="2" borderId="1" xfId="9" applyFont="1" applyFill="1" applyBorder="1" applyAlignment="1" applyProtection="1">
      <alignment horizontal="center" vertical="center" wrapText="1"/>
    </xf>
    <xf numFmtId="0" fontId="41" fillId="2" borderId="13" xfId="9" applyFont="1" applyFill="1" applyBorder="1" applyAlignment="1" applyProtection="1">
      <alignment horizontal="center" vertical="center" textRotation="90"/>
    </xf>
    <xf numFmtId="0" fontId="41" fillId="2" borderId="11" xfId="9" applyFont="1" applyFill="1" applyBorder="1" applyAlignment="1" applyProtection="1">
      <alignment horizontal="center" vertical="center" textRotation="90"/>
    </xf>
    <xf numFmtId="0" fontId="41" fillId="2" borderId="3" xfId="9" applyFont="1" applyFill="1" applyBorder="1" applyAlignment="1" applyProtection="1">
      <alignment horizontal="center" vertical="center"/>
    </xf>
    <xf numFmtId="0" fontId="41" fillId="2" borderId="5" xfId="9" applyFont="1" applyFill="1" applyBorder="1" applyAlignment="1" applyProtection="1">
      <alignment horizontal="center" vertical="center"/>
    </xf>
    <xf numFmtId="0" fontId="41" fillId="2" borderId="6" xfId="9" applyFont="1" applyFill="1" applyBorder="1" applyAlignment="1" applyProtection="1">
      <alignment horizontal="center" vertical="center"/>
    </xf>
    <xf numFmtId="0" fontId="41" fillId="2" borderId="7" xfId="9" applyFont="1" applyFill="1" applyBorder="1" applyAlignment="1" applyProtection="1">
      <alignment horizontal="center" vertical="center"/>
    </xf>
    <xf numFmtId="0" fontId="41" fillId="2" borderId="1" xfId="9" applyFont="1" applyFill="1" applyBorder="1" applyAlignment="1" applyProtection="1">
      <alignment horizontal="center" vertical="center"/>
    </xf>
    <xf numFmtId="0" fontId="41" fillId="2" borderId="14" xfId="9" applyFont="1" applyFill="1" applyBorder="1" applyAlignment="1" applyProtection="1">
      <alignment horizontal="center" vertical="center"/>
    </xf>
    <xf numFmtId="0" fontId="41" fillId="2" borderId="12" xfId="9" applyFont="1" applyFill="1" applyBorder="1" applyAlignment="1" applyProtection="1">
      <alignment horizontal="center" vertical="center"/>
    </xf>
    <xf numFmtId="4" fontId="41" fillId="2" borderId="13" xfId="9" applyNumberFormat="1" applyFont="1" applyFill="1" applyBorder="1" applyAlignment="1" applyProtection="1">
      <alignment horizontal="center" vertical="center"/>
    </xf>
    <xf numFmtId="4" fontId="41" fillId="2" borderId="11" xfId="9" applyNumberFormat="1" applyFont="1" applyFill="1" applyBorder="1" applyAlignment="1" applyProtection="1">
      <alignment horizontal="center" vertical="center"/>
    </xf>
    <xf numFmtId="0" fontId="49" fillId="0" borderId="14" xfId="9" applyFont="1" applyBorder="1" applyAlignment="1" applyProtection="1">
      <alignment horizontal="center" vertical="center" wrapText="1"/>
    </xf>
    <xf numFmtId="0" fontId="49" fillId="0" borderId="12" xfId="9" applyFont="1" applyBorder="1" applyAlignment="1" applyProtection="1">
      <alignment horizontal="center" vertical="center" wrapText="1"/>
    </xf>
    <xf numFmtId="0" fontId="41" fillId="0" borderId="10" xfId="6" applyFont="1" applyBorder="1" applyAlignment="1" applyProtection="1">
      <alignment horizontal="right" vertical="center" wrapText="1"/>
    </xf>
    <xf numFmtId="0" fontId="41" fillId="0" borderId="14" xfId="6" applyFont="1" applyBorder="1" applyAlignment="1" applyProtection="1">
      <alignment horizontal="right" vertical="center" wrapText="1"/>
    </xf>
    <xf numFmtId="49" fontId="53" fillId="0" borderId="1" xfId="9" applyNumberFormat="1" applyFont="1" applyBorder="1" applyAlignment="1" applyProtection="1">
      <alignment horizontal="left" vertical="center" wrapText="1" indent="1"/>
      <protection locked="0"/>
    </xf>
    <xf numFmtId="49" fontId="45" fillId="0" borderId="1" xfId="9" applyNumberFormat="1" applyFont="1" applyBorder="1" applyAlignment="1" applyProtection="1">
      <alignment horizontal="left" vertical="center" wrapText="1" indent="1"/>
      <protection locked="0"/>
    </xf>
    <xf numFmtId="0" fontId="43" fillId="0" borderId="1" xfId="9" applyFont="1" applyBorder="1" applyAlignment="1" applyProtection="1">
      <alignment horizontal="center" vertical="center" wrapText="1"/>
      <protection locked="0"/>
    </xf>
    <xf numFmtId="49" fontId="42" fillId="0" borderId="1" xfId="9" applyNumberFormat="1" applyFont="1" applyBorder="1" applyAlignment="1" applyProtection="1">
      <alignment horizontal="left" vertical="center" wrapText="1" indent="1"/>
      <protection locked="0"/>
    </xf>
    <xf numFmtId="0" fontId="47" fillId="2" borderId="1" xfId="9" applyFont="1" applyFill="1" applyBorder="1" applyAlignment="1" applyProtection="1">
      <alignment horizontal="center" vertical="center" textRotation="90" wrapText="1"/>
    </xf>
    <xf numFmtId="0" fontId="42" fillId="0" borderId="2" xfId="9" applyFont="1" applyBorder="1" applyAlignment="1" applyProtection="1">
      <alignment horizontal="left" vertical="center" wrapText="1"/>
    </xf>
    <xf numFmtId="0" fontId="42" fillId="0" borderId="14" xfId="9" applyFont="1" applyBorder="1" applyAlignment="1" applyProtection="1">
      <alignment horizontal="left" vertical="center" wrapText="1"/>
    </xf>
    <xf numFmtId="0" fontId="42" fillId="0" borderId="12" xfId="9" applyFont="1" applyBorder="1" applyAlignment="1" applyProtection="1">
      <alignment horizontal="left" vertical="center" wrapText="1"/>
    </xf>
  </cellXfs>
  <cellStyles count="13">
    <cellStyle name="Excel Built-in Explanatory Text" xfId="5"/>
    <cellStyle name="Moeda" xfId="1" builtinId="4"/>
    <cellStyle name="Moeda 2" xfId="7"/>
    <cellStyle name="Moeda 2 2" xfId="10"/>
    <cellStyle name="Moeda 2 2 2" xfId="12"/>
    <cellStyle name="Normal" xfId="0" builtinId="0"/>
    <cellStyle name="Normal 2" xfId="3"/>
    <cellStyle name="Normal 2 2" xfId="9"/>
    <cellStyle name="Normal 2 2 2" xfId="11"/>
    <cellStyle name="Normal 3" xfId="6"/>
    <cellStyle name="Porcentagem" xfId="2" builtinId="5"/>
    <cellStyle name="Porcentagem 2" xfId="4"/>
    <cellStyle name="Separador de milhares" xfId="8" builtinId="3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b/>
        <i val="0"/>
        <color rgb="FF7030A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5</xdr:row>
      <xdr:rowOff>163285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82025" y="82602"/>
          <a:ext cx="681318" cy="10603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6</xdr:row>
      <xdr:rowOff>48985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07186" y="82602"/>
          <a:ext cx="681318" cy="10331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322753</xdr:colOff>
      <xdr:row>0</xdr:row>
      <xdr:rowOff>101710</xdr:rowOff>
    </xdr:from>
    <xdr:to>
      <xdr:col>7</xdr:col>
      <xdr:colOff>931828</xdr:colOff>
      <xdr:row>6</xdr:row>
      <xdr:rowOff>2698</xdr:rowOff>
    </xdr:to>
    <xdr:pic>
      <xdr:nvPicPr>
        <xdr:cNvPr id="2" name="Figura1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9772158" y="101710"/>
          <a:ext cx="609075" cy="889418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70</xdr:row>
      <xdr:rowOff>19050</xdr:rowOff>
    </xdr:from>
    <xdr:to>
      <xdr:col>13</xdr:col>
      <xdr:colOff>1927412</xdr:colOff>
      <xdr:row>77</xdr:row>
      <xdr:rowOff>156883</xdr:rowOff>
    </xdr:to>
    <xdr:sp macro="" textlink="">
      <xdr:nvSpPr>
        <xdr:cNvPr id="2" name="CaixaDeTexto 1"/>
        <xdr:cNvSpPr txBox="1"/>
      </xdr:nvSpPr>
      <xdr:spPr>
        <a:xfrm>
          <a:off x="1" y="20974050"/>
          <a:ext cx="12909176" cy="163942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/>
            <a:t>OBSERVAÇÃO CONFORME: </a:t>
          </a: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Decreto n.º 66.173 de 27/10/2021 _ "a liberação dos recursos, considerando o valor total destes, observará o seguinte: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até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reais), em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parcela única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R$1.000.000,00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(um milhão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2 (duas) parcelas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igualmente divididas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R$ 1.000.000,00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(hum milhão de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R$ 5.000.000,00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3 (três) parcelas,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acima de R$ 5.000.000,00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parcelas sucessivas, conforme estipular o respectivo instrumento,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/>
            <a:t/>
          </a:r>
          <a:br>
            <a:rPr lang="pt-BR"/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155948</xdr:colOff>
      <xdr:row>0</xdr:row>
      <xdr:rowOff>108791</xdr:rowOff>
    </xdr:from>
    <xdr:to>
      <xdr:col>1</xdr:col>
      <xdr:colOff>481853</xdr:colOff>
      <xdr:row>4</xdr:row>
      <xdr:rowOff>89649</xdr:rowOff>
    </xdr:to>
    <xdr:pic>
      <xdr:nvPicPr>
        <xdr:cNvPr id="3" name="Figura1">
          <a:extLst>
            <a:ext uri="{FF2B5EF4-FFF2-40B4-BE49-F238E27FC236}">
              <a16:creationId xmlns:a16="http://schemas.microsoft.com/office/drawing/2014/main" xmlns="" id="{00000000-0008-0000-0500-00000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55948" y="108791"/>
          <a:ext cx="886199" cy="1101446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4"/>
  <sheetViews>
    <sheetView view="pageBreakPreview" zoomScale="70" zoomScaleNormal="150" zoomScaleSheetLayoutView="70" workbookViewId="0">
      <selection activeCell="J273" sqref="J273"/>
    </sheetView>
  </sheetViews>
  <sheetFormatPr defaultRowHeight="15"/>
  <cols>
    <col min="1" max="1" width="7.5703125" customWidth="1"/>
    <col min="2" max="3" width="13.28515625" customWidth="1"/>
    <col min="4" max="4" width="82.7109375" customWidth="1"/>
    <col min="6" max="6" width="11.85546875" bestFit="1" customWidth="1"/>
    <col min="7" max="7" width="15.28515625" customWidth="1"/>
    <col min="8" max="8" width="20.28515625" customWidth="1"/>
    <col min="9" max="9" width="14.28515625" bestFit="1" customWidth="1"/>
    <col min="10" max="10" width="17.85546875" customWidth="1"/>
    <col min="11" max="11" width="13.7109375" bestFit="1" customWidth="1"/>
  </cols>
  <sheetData>
    <row r="1" spans="1:8" ht="15" customHeight="1">
      <c r="A1" s="349" t="s">
        <v>63</v>
      </c>
      <c r="B1" s="350"/>
      <c r="C1" s="350"/>
      <c r="D1" s="350"/>
      <c r="E1" s="350"/>
      <c r="F1" s="350"/>
      <c r="G1" s="350"/>
      <c r="H1" s="351"/>
    </row>
    <row r="2" spans="1:8" ht="15" customHeight="1">
      <c r="A2" s="352"/>
      <c r="B2" s="353"/>
      <c r="C2" s="353"/>
      <c r="D2" s="353"/>
      <c r="E2" s="353"/>
      <c r="F2" s="353"/>
      <c r="G2" s="353"/>
      <c r="H2" s="354"/>
    </row>
    <row r="3" spans="1:8" ht="15" customHeight="1">
      <c r="A3" s="352"/>
      <c r="B3" s="353"/>
      <c r="C3" s="353"/>
      <c r="D3" s="353"/>
      <c r="E3" s="353"/>
      <c r="F3" s="353"/>
      <c r="G3" s="353"/>
      <c r="H3" s="354"/>
    </row>
    <row r="4" spans="1:8" ht="15" customHeight="1">
      <c r="A4" s="352"/>
      <c r="B4" s="353"/>
      <c r="C4" s="353"/>
      <c r="D4" s="353"/>
      <c r="E4" s="353"/>
      <c r="F4" s="353"/>
      <c r="G4" s="353"/>
      <c r="H4" s="354"/>
    </row>
    <row r="5" spans="1:8" ht="15" customHeight="1">
      <c r="A5" s="352"/>
      <c r="B5" s="353"/>
      <c r="C5" s="353"/>
      <c r="D5" s="353"/>
      <c r="E5" s="353"/>
      <c r="F5" s="353"/>
      <c r="G5" s="353"/>
      <c r="H5" s="354"/>
    </row>
    <row r="6" spans="1:8" ht="15" customHeight="1">
      <c r="A6" s="352"/>
      <c r="B6" s="353"/>
      <c r="C6" s="353"/>
      <c r="D6" s="353"/>
      <c r="E6" s="353"/>
      <c r="F6" s="353"/>
      <c r="G6" s="353"/>
      <c r="H6" s="354"/>
    </row>
    <row r="7" spans="1:8" ht="15" customHeight="1">
      <c r="A7" s="352"/>
      <c r="B7" s="353"/>
      <c r="C7" s="353"/>
      <c r="D7" s="353"/>
      <c r="E7" s="353"/>
      <c r="F7" s="353"/>
      <c r="G7" s="353"/>
      <c r="H7" s="354"/>
    </row>
    <row r="8" spans="1:8" ht="15" customHeight="1">
      <c r="A8" s="352"/>
      <c r="B8" s="353"/>
      <c r="C8" s="353"/>
      <c r="D8" s="353"/>
      <c r="E8" s="353"/>
      <c r="F8" s="353"/>
      <c r="G8" s="353"/>
      <c r="H8" s="354"/>
    </row>
    <row r="9" spans="1:8" ht="15" customHeight="1">
      <c r="A9" s="23"/>
      <c r="B9" s="24"/>
      <c r="C9" s="24"/>
      <c r="D9" s="24"/>
      <c r="E9" s="24"/>
      <c r="F9" s="24"/>
      <c r="G9" s="24"/>
      <c r="H9" s="25"/>
    </row>
    <row r="10" spans="1:8" ht="15" customHeight="1">
      <c r="A10" s="369" t="s">
        <v>8</v>
      </c>
      <c r="B10" s="370"/>
      <c r="C10" s="370"/>
      <c r="D10" s="370"/>
      <c r="E10" s="370"/>
      <c r="F10" s="370"/>
      <c r="G10" s="370"/>
      <c r="H10" s="371"/>
    </row>
    <row r="11" spans="1:8" ht="15" customHeight="1">
      <c r="A11" s="4"/>
      <c r="B11" s="365" t="s">
        <v>438</v>
      </c>
      <c r="C11" s="365"/>
      <c r="D11" s="365"/>
      <c r="E11" s="365"/>
      <c r="F11" s="365"/>
      <c r="G11" s="365"/>
      <c r="H11" s="366"/>
    </row>
    <row r="12" spans="1:8" ht="15" customHeight="1">
      <c r="A12" s="4"/>
      <c r="B12" s="367" t="s">
        <v>576</v>
      </c>
      <c r="C12" s="367"/>
      <c r="D12" s="367"/>
      <c r="E12" s="367"/>
      <c r="F12" s="367"/>
      <c r="G12" s="367"/>
      <c r="H12" s="368"/>
    </row>
    <row r="13" spans="1:8" ht="15" customHeight="1">
      <c r="A13" s="5"/>
      <c r="B13" s="6" t="s">
        <v>825</v>
      </c>
      <c r="C13" s="6"/>
      <c r="D13" s="6" t="s">
        <v>619</v>
      </c>
      <c r="E13" s="363" t="s">
        <v>440</v>
      </c>
      <c r="F13" s="363"/>
      <c r="G13" s="363"/>
      <c r="H13" s="364"/>
    </row>
    <row r="14" spans="1:8" ht="25.5">
      <c r="A14" s="9" t="s">
        <v>0</v>
      </c>
      <c r="B14" s="10" t="s">
        <v>1</v>
      </c>
      <c r="C14" s="10" t="s">
        <v>2</v>
      </c>
      <c r="D14" s="9" t="s">
        <v>3</v>
      </c>
      <c r="E14" s="9" t="s">
        <v>4</v>
      </c>
      <c r="F14" s="9" t="s">
        <v>5</v>
      </c>
      <c r="G14" s="10" t="s">
        <v>6</v>
      </c>
      <c r="H14" s="10" t="s">
        <v>7</v>
      </c>
    </row>
    <row r="15" spans="1:8" ht="4.5" customHeight="1">
      <c r="A15" s="2"/>
      <c r="B15" s="2"/>
      <c r="C15" s="2"/>
      <c r="D15" s="2"/>
      <c r="E15" s="2"/>
      <c r="F15" s="2"/>
      <c r="G15" s="2"/>
      <c r="H15" s="2"/>
    </row>
    <row r="16" spans="1:8" ht="15.75">
      <c r="A16" s="41"/>
      <c r="B16" s="37"/>
      <c r="C16" s="37"/>
      <c r="D16" s="38"/>
      <c r="E16" s="37"/>
      <c r="F16" s="37"/>
      <c r="G16" s="39"/>
      <c r="H16" s="50"/>
    </row>
    <row r="17" spans="1:8">
      <c r="A17" s="34"/>
      <c r="B17" s="34"/>
      <c r="C17" s="34"/>
      <c r="D17" s="34"/>
      <c r="E17" s="34"/>
      <c r="F17" s="34"/>
      <c r="G17" s="48"/>
      <c r="H17" s="48"/>
    </row>
    <row r="18" spans="1:8">
      <c r="A18" s="42" t="s">
        <v>61</v>
      </c>
      <c r="B18" s="3"/>
      <c r="C18" s="3"/>
      <c r="D18" s="8" t="s">
        <v>335</v>
      </c>
      <c r="E18" s="3"/>
      <c r="F18" s="3"/>
      <c r="G18" s="46"/>
      <c r="H18" s="46"/>
    </row>
    <row r="19" spans="1:8">
      <c r="A19" s="42">
        <v>1</v>
      </c>
      <c r="B19" s="3"/>
      <c r="C19" s="3"/>
      <c r="D19" s="11" t="s">
        <v>112</v>
      </c>
      <c r="E19" s="3"/>
      <c r="F19" s="3"/>
      <c r="G19" s="16"/>
      <c r="H19" s="16"/>
    </row>
    <row r="20" spans="1:8" s="316" customFormat="1">
      <c r="A20" s="45" t="s">
        <v>9</v>
      </c>
      <c r="B20" s="315" t="s">
        <v>443</v>
      </c>
      <c r="C20" s="33" t="s">
        <v>113</v>
      </c>
      <c r="D20" s="323" t="s">
        <v>114</v>
      </c>
      <c r="E20" s="33" t="s">
        <v>19</v>
      </c>
      <c r="F20" s="52">
        <f>2*3</f>
        <v>6</v>
      </c>
      <c r="G20" s="60"/>
      <c r="H20" s="60"/>
    </row>
    <row r="21" spans="1:8" s="316" customFormat="1">
      <c r="A21" s="45" t="s">
        <v>38</v>
      </c>
      <c r="B21" s="315" t="s">
        <v>443</v>
      </c>
      <c r="C21" s="33" t="s">
        <v>115</v>
      </c>
      <c r="D21" s="32" t="s">
        <v>116</v>
      </c>
      <c r="E21" s="33" t="s">
        <v>20</v>
      </c>
      <c r="F21" s="52">
        <f>((7.05*4.2)-(17.4))*0.2</f>
        <v>2.4420000000000002</v>
      </c>
      <c r="G21" s="60"/>
      <c r="H21" s="60"/>
    </row>
    <row r="22" spans="1:8" s="316" customFormat="1" ht="29.25">
      <c r="A22" s="45" t="s">
        <v>65</v>
      </c>
      <c r="B22" s="315" t="s">
        <v>443</v>
      </c>
      <c r="C22" s="45" t="s">
        <v>117</v>
      </c>
      <c r="D22" s="317" t="s">
        <v>118</v>
      </c>
      <c r="E22" s="45" t="s">
        <v>20</v>
      </c>
      <c r="F22" s="52">
        <f>(313.5*0.005)+2.44</f>
        <v>4.0075000000000003</v>
      </c>
      <c r="G22" s="61"/>
      <c r="H22" s="61"/>
    </row>
    <row r="23" spans="1:8" s="316" customFormat="1" ht="15.75">
      <c r="A23" s="45" t="s">
        <v>66</v>
      </c>
      <c r="B23" s="315" t="s">
        <v>443</v>
      </c>
      <c r="C23" s="37" t="s">
        <v>119</v>
      </c>
      <c r="D23" s="34" t="s">
        <v>120</v>
      </c>
      <c r="E23" s="33" t="s">
        <v>19</v>
      </c>
      <c r="F23" s="52">
        <f>(41.8*7.5)</f>
        <v>313.5</v>
      </c>
      <c r="G23" s="60"/>
      <c r="H23" s="60"/>
    </row>
    <row r="24" spans="1:8" s="316" customFormat="1">
      <c r="A24" s="45" t="s">
        <v>67</v>
      </c>
      <c r="B24" s="315" t="s">
        <v>443</v>
      </c>
      <c r="C24" s="33" t="s">
        <v>121</v>
      </c>
      <c r="D24" s="34" t="s">
        <v>122</v>
      </c>
      <c r="E24" s="33" t="s">
        <v>19</v>
      </c>
      <c r="F24" s="52">
        <f>(3.6*4.1)+(1.2*2.2)</f>
        <v>17.399999999999999</v>
      </c>
      <c r="G24" s="60"/>
      <c r="H24" s="60"/>
    </row>
    <row r="25" spans="1:8" s="316" customFormat="1">
      <c r="A25" s="45" t="s">
        <v>68</v>
      </c>
      <c r="B25" s="315" t="s">
        <v>443</v>
      </c>
      <c r="C25" s="33" t="s">
        <v>123</v>
      </c>
      <c r="D25" s="34" t="s">
        <v>124</v>
      </c>
      <c r="E25" s="33" t="s">
        <v>21</v>
      </c>
      <c r="F25" s="52">
        <f>8.4+0.65</f>
        <v>9.0500000000000007</v>
      </c>
      <c r="G25" s="60"/>
      <c r="H25" s="60"/>
    </row>
    <row r="26" spans="1:8" s="316" customFormat="1">
      <c r="A26" s="45" t="s">
        <v>69</v>
      </c>
      <c r="B26" s="315" t="s">
        <v>443</v>
      </c>
      <c r="C26" s="33" t="s">
        <v>107</v>
      </c>
      <c r="D26" s="32" t="s">
        <v>106</v>
      </c>
      <c r="E26" s="33" t="s">
        <v>20</v>
      </c>
      <c r="F26" s="52">
        <f>((24.95+7.2-3.64)*0.3*0.4)+(0.7*0.7*0.5)*13</f>
        <v>6.6061999999999994</v>
      </c>
      <c r="G26" s="60"/>
      <c r="H26" s="60"/>
    </row>
    <row r="27" spans="1:8" s="316" customFormat="1">
      <c r="A27" s="45" t="s">
        <v>70</v>
      </c>
      <c r="B27" s="315" t="s">
        <v>443</v>
      </c>
      <c r="C27" s="33" t="s">
        <v>64</v>
      </c>
      <c r="D27" s="169" t="s">
        <v>125</v>
      </c>
      <c r="E27" s="33" t="s">
        <v>20</v>
      </c>
      <c r="F27" s="52">
        <f>(28.51*0.1*0.2)+(0.7*0.7*0.15*13)</f>
        <v>1.5257000000000001</v>
      </c>
      <c r="G27" s="60"/>
      <c r="H27" s="60"/>
    </row>
    <row r="28" spans="1:8" s="316" customFormat="1">
      <c r="A28" s="45" t="s">
        <v>71</v>
      </c>
      <c r="B28" s="315" t="s">
        <v>443</v>
      </c>
      <c r="C28" s="33" t="s">
        <v>94</v>
      </c>
      <c r="D28" s="32" t="s">
        <v>93</v>
      </c>
      <c r="E28" s="33" t="s">
        <v>19</v>
      </c>
      <c r="F28" s="52">
        <v>189.06</v>
      </c>
      <c r="G28" s="60"/>
      <c r="H28" s="60"/>
    </row>
    <row r="29" spans="1:8" s="316" customFormat="1">
      <c r="A29" s="45" t="s">
        <v>585</v>
      </c>
      <c r="B29" s="315" t="s">
        <v>443</v>
      </c>
      <c r="C29" s="33" t="s">
        <v>126</v>
      </c>
      <c r="D29" s="32" t="s">
        <v>127</v>
      </c>
      <c r="E29" s="33" t="s">
        <v>128</v>
      </c>
      <c r="F29" s="52">
        <v>3</v>
      </c>
      <c r="G29" s="60"/>
      <c r="H29" s="60"/>
    </row>
    <row r="30" spans="1:8" s="316" customFormat="1">
      <c r="A30" s="45" t="s">
        <v>586</v>
      </c>
      <c r="B30" s="315" t="s">
        <v>443</v>
      </c>
      <c r="C30" s="33" t="s">
        <v>625</v>
      </c>
      <c r="D30" s="32" t="s">
        <v>624</v>
      </c>
      <c r="E30" s="33" t="s">
        <v>19</v>
      </c>
      <c r="F30" s="52">
        <f>(27.8+9.23+1.5)*2.2</f>
        <v>84.766000000000005</v>
      </c>
      <c r="G30" s="327"/>
      <c r="H30" s="60"/>
    </row>
    <row r="31" spans="1:8">
      <c r="A31" s="30"/>
      <c r="B31" s="128"/>
      <c r="C31" s="7"/>
      <c r="D31" s="63" t="s">
        <v>24</v>
      </c>
      <c r="E31" s="7"/>
      <c r="F31" s="18"/>
      <c r="G31" s="15"/>
      <c r="H31" s="20"/>
    </row>
    <row r="32" spans="1:8">
      <c r="A32" s="42">
        <v>2</v>
      </c>
      <c r="B32" s="129"/>
      <c r="C32" s="8"/>
      <c r="D32" s="11" t="s">
        <v>129</v>
      </c>
      <c r="E32" s="13"/>
      <c r="F32" s="13"/>
      <c r="G32" s="17"/>
      <c r="H32" s="17"/>
    </row>
    <row r="33" spans="1:8" s="316" customFormat="1">
      <c r="A33" s="45" t="s">
        <v>10</v>
      </c>
      <c r="B33" s="315" t="s">
        <v>443</v>
      </c>
      <c r="C33" s="33" t="s">
        <v>92</v>
      </c>
      <c r="D33" s="169" t="s">
        <v>91</v>
      </c>
      <c r="E33" s="33" t="s">
        <v>21</v>
      </c>
      <c r="F33" s="52">
        <f>3*13</f>
        <v>39</v>
      </c>
      <c r="G33" s="60"/>
      <c r="H33" s="60"/>
    </row>
    <row r="34" spans="1:8" s="316" customFormat="1">
      <c r="A34" s="45" t="s">
        <v>31</v>
      </c>
      <c r="B34" s="315" t="s">
        <v>443</v>
      </c>
      <c r="C34" s="33" t="s">
        <v>130</v>
      </c>
      <c r="D34" s="32" t="s">
        <v>131</v>
      </c>
      <c r="E34" s="33" t="s">
        <v>20</v>
      </c>
      <c r="F34" s="52">
        <f>(0.7*0.7*0.35)*13</f>
        <v>2.2294999999999994</v>
      </c>
      <c r="G34" s="60"/>
      <c r="H34" s="60"/>
    </row>
    <row r="35" spans="1:8" s="316" customFormat="1">
      <c r="A35" s="45" t="s">
        <v>32</v>
      </c>
      <c r="B35" s="315" t="s">
        <v>443</v>
      </c>
      <c r="C35" s="33" t="s">
        <v>80</v>
      </c>
      <c r="D35" s="32" t="s">
        <v>132</v>
      </c>
      <c r="E35" s="33" t="s">
        <v>20</v>
      </c>
      <c r="F35" s="52">
        <f>(0.7*0.7*0.35)*13</f>
        <v>2.2294999999999994</v>
      </c>
      <c r="G35" s="60"/>
      <c r="H35" s="60"/>
    </row>
    <row r="36" spans="1:8" s="316" customFormat="1">
      <c r="A36" s="45" t="s">
        <v>33</v>
      </c>
      <c r="B36" s="315" t="s">
        <v>443</v>
      </c>
      <c r="C36" s="33" t="s">
        <v>37</v>
      </c>
      <c r="D36" s="32" t="s">
        <v>133</v>
      </c>
      <c r="E36" s="33" t="s">
        <v>134</v>
      </c>
      <c r="F36" s="52">
        <f>2.23*70</f>
        <v>156.1</v>
      </c>
      <c r="G36" s="60"/>
      <c r="H36" s="60"/>
    </row>
    <row r="37" spans="1:8" s="316" customFormat="1">
      <c r="A37" s="45" t="s">
        <v>34</v>
      </c>
      <c r="B37" s="315" t="s">
        <v>443</v>
      </c>
      <c r="C37" s="33" t="s">
        <v>130</v>
      </c>
      <c r="D37" s="32" t="s">
        <v>135</v>
      </c>
      <c r="E37" s="33" t="s">
        <v>20</v>
      </c>
      <c r="F37" s="52">
        <f>(28.51*0.2*0.3)+(4.2*0.2*0.3)</f>
        <v>1.9626000000000001</v>
      </c>
      <c r="G37" s="60"/>
      <c r="H37" s="60"/>
    </row>
    <row r="38" spans="1:8" s="316" customFormat="1">
      <c r="A38" s="45" t="s">
        <v>35</v>
      </c>
      <c r="B38" s="315" t="s">
        <v>443</v>
      </c>
      <c r="C38" s="33" t="s">
        <v>80</v>
      </c>
      <c r="D38" s="32" t="s">
        <v>136</v>
      </c>
      <c r="E38" s="33" t="s">
        <v>20</v>
      </c>
      <c r="F38" s="52">
        <f>(28.51*0.2*0.3)+(4.2*0.2*0.3)</f>
        <v>1.9626000000000001</v>
      </c>
      <c r="G38" s="60"/>
      <c r="H38" s="60"/>
    </row>
    <row r="39" spans="1:8" s="316" customFormat="1">
      <c r="A39" s="45" t="s">
        <v>82</v>
      </c>
      <c r="B39" s="315" t="s">
        <v>443</v>
      </c>
      <c r="C39" s="33" t="s">
        <v>36</v>
      </c>
      <c r="D39" s="32" t="s">
        <v>137</v>
      </c>
      <c r="E39" s="33" t="s">
        <v>134</v>
      </c>
      <c r="F39" s="52">
        <f>(1.96*90)*0.8</f>
        <v>141.12</v>
      </c>
      <c r="G39" s="60"/>
      <c r="H39" s="60"/>
    </row>
    <row r="40" spans="1:8" s="316" customFormat="1">
      <c r="A40" s="45" t="s">
        <v>83</v>
      </c>
      <c r="B40" s="315" t="s">
        <v>443</v>
      </c>
      <c r="C40" s="33" t="s">
        <v>37</v>
      </c>
      <c r="D40" s="32" t="s">
        <v>138</v>
      </c>
      <c r="E40" s="33" t="s">
        <v>134</v>
      </c>
      <c r="F40" s="52">
        <f>(1.96*90)*0.2</f>
        <v>35.28</v>
      </c>
      <c r="G40" s="60"/>
      <c r="H40" s="60"/>
    </row>
    <row r="41" spans="1:8" s="316" customFormat="1">
      <c r="A41" s="45" t="s">
        <v>84</v>
      </c>
      <c r="B41" s="315" t="s">
        <v>443</v>
      </c>
      <c r="C41" s="33" t="s">
        <v>88</v>
      </c>
      <c r="D41" s="32" t="s">
        <v>87</v>
      </c>
      <c r="E41" s="33" t="s">
        <v>20</v>
      </c>
      <c r="F41" s="52">
        <f>(0.7*0.7*13*0.03)+(28.51*0.2*0.03)+(4.2*0.2*0.03)</f>
        <v>0.38735999999999998</v>
      </c>
      <c r="G41" s="60"/>
      <c r="H41" s="60"/>
    </row>
    <row r="42" spans="1:8" s="316" customFormat="1">
      <c r="A42" s="45" t="s">
        <v>95</v>
      </c>
      <c r="B42" s="315" t="s">
        <v>443</v>
      </c>
      <c r="C42" s="33" t="s">
        <v>139</v>
      </c>
      <c r="D42" s="32" t="s">
        <v>140</v>
      </c>
      <c r="E42" s="33" t="s">
        <v>19</v>
      </c>
      <c r="F42" s="52">
        <f>(0.2+0.3+0.3)*28.51</f>
        <v>22.808000000000003</v>
      </c>
      <c r="G42" s="60"/>
      <c r="H42" s="60"/>
    </row>
    <row r="43" spans="1:8" s="316" customFormat="1">
      <c r="A43" s="45" t="s">
        <v>628</v>
      </c>
      <c r="B43" s="315" t="s">
        <v>443</v>
      </c>
      <c r="C43" s="33" t="s">
        <v>630</v>
      </c>
      <c r="D43" s="32" t="s">
        <v>629</v>
      </c>
      <c r="E43" s="33" t="s">
        <v>19</v>
      </c>
      <c r="F43" s="52">
        <f xml:space="preserve"> (28.51*0.6)+(4.2*0.6)</f>
        <v>19.626000000000001</v>
      </c>
      <c r="G43" s="60"/>
      <c r="H43" s="60"/>
    </row>
    <row r="44" spans="1:8">
      <c r="A44" s="30"/>
      <c r="B44" s="128"/>
      <c r="C44" s="98"/>
      <c r="D44" s="63" t="s">
        <v>25</v>
      </c>
      <c r="E44" s="7"/>
      <c r="F44" s="18"/>
      <c r="G44" s="15"/>
      <c r="H44" s="64"/>
    </row>
    <row r="45" spans="1:8">
      <c r="A45" s="42">
        <v>3</v>
      </c>
      <c r="B45" s="129"/>
      <c r="C45" s="8"/>
      <c r="D45" s="11" t="s">
        <v>141</v>
      </c>
      <c r="E45" s="13"/>
      <c r="F45" s="13"/>
      <c r="G45" s="17"/>
      <c r="H45" s="16"/>
    </row>
    <row r="46" spans="1:8" s="316" customFormat="1">
      <c r="A46" s="45" t="s">
        <v>11</v>
      </c>
      <c r="B46" s="315" t="s">
        <v>443</v>
      </c>
      <c r="C46" s="33" t="s">
        <v>130</v>
      </c>
      <c r="D46" s="326" t="s">
        <v>631</v>
      </c>
      <c r="E46" s="33" t="s">
        <v>20</v>
      </c>
      <c r="F46" s="52">
        <f>((0.2*0.25*4)*4)+((0.15*0.2*4)*6)+((0.2*0.2*5.01)*3)</f>
        <v>2.1212</v>
      </c>
      <c r="G46" s="60"/>
      <c r="H46" s="60"/>
    </row>
    <row r="47" spans="1:8" s="316" customFormat="1">
      <c r="A47" s="45" t="s">
        <v>72</v>
      </c>
      <c r="B47" s="315" t="s">
        <v>443</v>
      </c>
      <c r="C47" s="33" t="s">
        <v>36</v>
      </c>
      <c r="D47" s="326" t="s">
        <v>632</v>
      </c>
      <c r="E47" s="33" t="s">
        <v>134</v>
      </c>
      <c r="F47" s="52">
        <f>2.12*90*0.8</f>
        <v>152.64000000000001</v>
      </c>
      <c r="G47" s="60"/>
      <c r="H47" s="60"/>
    </row>
    <row r="48" spans="1:8" s="316" customFormat="1">
      <c r="A48" s="45" t="s">
        <v>73</v>
      </c>
      <c r="B48" s="315" t="s">
        <v>443</v>
      </c>
      <c r="C48" s="33" t="s">
        <v>37</v>
      </c>
      <c r="D48" s="326" t="s">
        <v>633</v>
      </c>
      <c r="E48" s="33" t="s">
        <v>134</v>
      </c>
      <c r="F48" s="52">
        <f>(2.12*90)*0.2</f>
        <v>38.160000000000004</v>
      </c>
      <c r="G48" s="60"/>
      <c r="H48" s="60"/>
    </row>
    <row r="49" spans="1:8" s="316" customFormat="1">
      <c r="A49" s="45" t="s">
        <v>74</v>
      </c>
      <c r="B49" s="315" t="s">
        <v>443</v>
      </c>
      <c r="C49" s="33" t="s">
        <v>130</v>
      </c>
      <c r="D49" s="326" t="s">
        <v>841</v>
      </c>
      <c r="E49" s="33" t="s">
        <v>20</v>
      </c>
      <c r="F49" s="52">
        <f>(28.51*0.12*0.2)+(7.66*0.12*0.2)</f>
        <v>0.86808000000000007</v>
      </c>
      <c r="G49" s="60"/>
      <c r="H49" s="60"/>
    </row>
    <row r="50" spans="1:8" s="316" customFormat="1" ht="29.25">
      <c r="A50" s="45" t="s">
        <v>75</v>
      </c>
      <c r="B50" s="315" t="s">
        <v>443</v>
      </c>
      <c r="C50" s="33" t="s">
        <v>593</v>
      </c>
      <c r="D50" s="317" t="s">
        <v>842</v>
      </c>
      <c r="E50" s="33" t="s">
        <v>20</v>
      </c>
      <c r="F50" s="52">
        <f>F49</f>
        <v>0.86808000000000007</v>
      </c>
      <c r="G50" s="60"/>
      <c r="H50" s="60"/>
    </row>
    <row r="51" spans="1:8" s="316" customFormat="1">
      <c r="A51" s="45" t="s">
        <v>76</v>
      </c>
      <c r="B51" s="315" t="s">
        <v>443</v>
      </c>
      <c r="C51" s="33" t="s">
        <v>36</v>
      </c>
      <c r="D51" s="326" t="s">
        <v>843</v>
      </c>
      <c r="E51" s="33" t="s">
        <v>134</v>
      </c>
      <c r="F51" s="52">
        <f>(0.87*90)*0.8</f>
        <v>62.64</v>
      </c>
      <c r="G51" s="60"/>
      <c r="H51" s="60"/>
    </row>
    <row r="52" spans="1:8" s="316" customFormat="1">
      <c r="A52" s="45" t="s">
        <v>78</v>
      </c>
      <c r="B52" s="315" t="s">
        <v>443</v>
      </c>
      <c r="C52" s="33" t="s">
        <v>37</v>
      </c>
      <c r="D52" s="326" t="s">
        <v>844</v>
      </c>
      <c r="E52" s="33" t="s">
        <v>134</v>
      </c>
      <c r="F52" s="52">
        <f>(0.87*90)*0.2</f>
        <v>15.66</v>
      </c>
      <c r="G52" s="60"/>
      <c r="H52" s="60"/>
    </row>
    <row r="53" spans="1:8" s="316" customFormat="1">
      <c r="A53" s="45" t="s">
        <v>79</v>
      </c>
      <c r="B53" s="315" t="s">
        <v>443</v>
      </c>
      <c r="C53" s="33" t="s">
        <v>90</v>
      </c>
      <c r="D53" s="326" t="s">
        <v>89</v>
      </c>
      <c r="E53" s="33" t="s">
        <v>19</v>
      </c>
      <c r="F53" s="52">
        <f>(0.3*4*2*13)+(0.3*(28.51+7.66)*2)</f>
        <v>52.902000000000001</v>
      </c>
      <c r="G53" s="60"/>
      <c r="H53" s="60"/>
    </row>
    <row r="54" spans="1:8">
      <c r="A54" s="30"/>
      <c r="B54" s="128"/>
      <c r="C54" s="7"/>
      <c r="D54" s="22" t="s">
        <v>26</v>
      </c>
      <c r="E54" s="7"/>
      <c r="F54" s="18"/>
      <c r="G54" s="15"/>
      <c r="H54" s="20"/>
    </row>
    <row r="55" spans="1:8">
      <c r="A55" s="42">
        <v>4</v>
      </c>
      <c r="B55" s="129"/>
      <c r="C55" s="8"/>
      <c r="D55" s="11" t="s">
        <v>143</v>
      </c>
      <c r="E55" s="13"/>
      <c r="F55" s="13"/>
      <c r="G55" s="17"/>
      <c r="H55" s="16"/>
    </row>
    <row r="56" spans="1:8" s="316" customFormat="1">
      <c r="A56" s="45" t="s">
        <v>12</v>
      </c>
      <c r="B56" s="315" t="s">
        <v>443</v>
      </c>
      <c r="C56" s="33" t="s">
        <v>144</v>
      </c>
      <c r="D56" s="326" t="s">
        <v>145</v>
      </c>
      <c r="E56" s="33" t="s">
        <v>19</v>
      </c>
      <c r="F56" s="52">
        <f>(5.3*10)+14.1+11.94</f>
        <v>79.039999999999992</v>
      </c>
      <c r="G56" s="60"/>
      <c r="H56" s="60"/>
    </row>
    <row r="57" spans="1:8" s="316" customFormat="1">
      <c r="A57" s="45" t="s">
        <v>13</v>
      </c>
      <c r="B57" s="315" t="s">
        <v>443</v>
      </c>
      <c r="C57" s="33" t="s">
        <v>109</v>
      </c>
      <c r="D57" s="326" t="s">
        <v>146</v>
      </c>
      <c r="E57" s="33" t="s">
        <v>19</v>
      </c>
      <c r="F57" s="52">
        <f>8.8+0.65*0.8</f>
        <v>9.32</v>
      </c>
      <c r="G57" s="60"/>
      <c r="H57" s="60"/>
    </row>
    <row r="58" spans="1:8" s="316" customFormat="1">
      <c r="A58" s="45" t="s">
        <v>14</v>
      </c>
      <c r="B58" s="315" t="s">
        <v>443</v>
      </c>
      <c r="C58" s="33" t="s">
        <v>108</v>
      </c>
      <c r="D58" s="317" t="s">
        <v>551</v>
      </c>
      <c r="E58" s="33" t="s">
        <v>19</v>
      </c>
      <c r="F58" s="52">
        <f>(7.65+1.2)*1.3</f>
        <v>11.505000000000001</v>
      </c>
      <c r="G58" s="60"/>
      <c r="H58" s="60"/>
    </row>
    <row r="59" spans="1:8" s="316" customFormat="1">
      <c r="A59" s="45" t="s">
        <v>110</v>
      </c>
      <c r="B59" s="315" t="s">
        <v>443</v>
      </c>
      <c r="C59" s="33" t="s">
        <v>130</v>
      </c>
      <c r="D59" s="317" t="s">
        <v>552</v>
      </c>
      <c r="E59" s="33" t="s">
        <v>20</v>
      </c>
      <c r="F59" s="52">
        <f>(0.2*0.2*1.5*6)+(0.2*0.2*6.8)+(2.2*0.06*2)</f>
        <v>0.89600000000000013</v>
      </c>
      <c r="G59" s="60"/>
      <c r="H59" s="60"/>
    </row>
    <row r="60" spans="1:8" s="316" customFormat="1">
      <c r="A60" s="45" t="s">
        <v>111</v>
      </c>
      <c r="B60" s="315" t="s">
        <v>443</v>
      </c>
      <c r="C60" s="33" t="s">
        <v>36</v>
      </c>
      <c r="D60" s="317" t="s">
        <v>149</v>
      </c>
      <c r="E60" s="33" t="s">
        <v>51</v>
      </c>
      <c r="F60" s="52">
        <f>0.9*90*0.8</f>
        <v>64.8</v>
      </c>
      <c r="G60" s="60"/>
      <c r="H60" s="60"/>
    </row>
    <row r="61" spans="1:8" s="316" customFormat="1">
      <c r="A61" s="45" t="s">
        <v>147</v>
      </c>
      <c r="B61" s="315" t="s">
        <v>443</v>
      </c>
      <c r="C61" s="33" t="s">
        <v>37</v>
      </c>
      <c r="D61" s="317" t="s">
        <v>151</v>
      </c>
      <c r="E61" s="33" t="s">
        <v>51</v>
      </c>
      <c r="F61" s="52">
        <f>0.9*90*0.2</f>
        <v>16.2</v>
      </c>
      <c r="G61" s="60"/>
      <c r="H61" s="60"/>
    </row>
    <row r="62" spans="1:8" s="316" customFormat="1" ht="28.5" customHeight="1">
      <c r="A62" s="45" t="s">
        <v>148</v>
      </c>
      <c r="B62" s="315" t="s">
        <v>443</v>
      </c>
      <c r="C62" s="33" t="s">
        <v>139</v>
      </c>
      <c r="D62" s="317" t="s">
        <v>787</v>
      </c>
      <c r="E62" s="33" t="s">
        <v>19</v>
      </c>
      <c r="F62" s="52">
        <f>(1.2*4*1.5)+(1.2*1.2)+((0.6+0.6+1.2+1.2)*1.5)+(7.65*1.5)</f>
        <v>25.515000000000001</v>
      </c>
      <c r="G62" s="60"/>
      <c r="H62" s="60"/>
    </row>
    <row r="63" spans="1:8" s="316" customFormat="1" ht="15" customHeight="1">
      <c r="A63" s="45" t="s">
        <v>150</v>
      </c>
      <c r="B63" s="315" t="s">
        <v>443</v>
      </c>
      <c r="C63" s="33" t="s">
        <v>152</v>
      </c>
      <c r="D63" s="317" t="s">
        <v>153</v>
      </c>
      <c r="E63" s="33" t="s">
        <v>19</v>
      </c>
      <c r="F63" s="52">
        <f>(1.2*4*1.5)+(1.2*1.2)</f>
        <v>8.6399999999999988</v>
      </c>
      <c r="G63" s="60"/>
      <c r="H63" s="60"/>
    </row>
    <row r="64" spans="1:8">
      <c r="A64" s="30"/>
      <c r="B64" s="128"/>
      <c r="C64" s="7"/>
      <c r="D64" s="66" t="s">
        <v>27</v>
      </c>
      <c r="E64" s="7"/>
      <c r="F64" s="18"/>
      <c r="G64" s="15"/>
      <c r="H64" s="20"/>
    </row>
    <row r="65" spans="1:8">
      <c r="A65" s="42">
        <v>5</v>
      </c>
      <c r="B65" s="129"/>
      <c r="C65" s="13"/>
      <c r="D65" s="11" t="s">
        <v>154</v>
      </c>
      <c r="E65" s="13"/>
      <c r="F65" s="13"/>
      <c r="G65" s="17"/>
      <c r="H65" s="16"/>
    </row>
    <row r="66" spans="1:8" s="316" customFormat="1" ht="29.25">
      <c r="A66" s="45" t="s">
        <v>15</v>
      </c>
      <c r="B66" s="315" t="s">
        <v>443</v>
      </c>
      <c r="C66" s="33" t="s">
        <v>142</v>
      </c>
      <c r="D66" s="317" t="s">
        <v>155</v>
      </c>
      <c r="E66" s="33" t="s">
        <v>134</v>
      </c>
      <c r="F66" s="52">
        <f>((8.14*2*0.18*0.006)+(8.64*0.12*0.003))*7850*5</f>
        <v>812.19240000000002</v>
      </c>
      <c r="G66" s="60"/>
      <c r="H66" s="60"/>
    </row>
    <row r="67" spans="1:8" s="316" customFormat="1" ht="29.25">
      <c r="A67" s="45" t="s">
        <v>16</v>
      </c>
      <c r="B67" s="315" t="s">
        <v>443</v>
      </c>
      <c r="C67" s="33" t="s">
        <v>142</v>
      </c>
      <c r="D67" s="169" t="s">
        <v>156</v>
      </c>
      <c r="E67" s="33" t="s">
        <v>134</v>
      </c>
      <c r="F67" s="52">
        <f>(24.95*8*0.195*0.002*7850)+(12.7*0.195*0.002*7850*3)</f>
        <v>727.71854999999994</v>
      </c>
      <c r="G67" s="60"/>
      <c r="H67" s="60"/>
    </row>
    <row r="68" spans="1:8" s="316" customFormat="1" ht="29.25">
      <c r="A68" s="45" t="s">
        <v>17</v>
      </c>
      <c r="B68" s="315" t="s">
        <v>443</v>
      </c>
      <c r="C68" s="33" t="s">
        <v>157</v>
      </c>
      <c r="D68" s="317" t="s">
        <v>158</v>
      </c>
      <c r="E68" s="33" t="s">
        <v>19</v>
      </c>
      <c r="F68" s="52">
        <f>(313.5)+(172.55)</f>
        <v>486.05</v>
      </c>
      <c r="G68" s="60"/>
      <c r="H68" s="60"/>
    </row>
    <row r="69" spans="1:8" s="316" customFormat="1" ht="29.25">
      <c r="A69" s="45" t="s">
        <v>40</v>
      </c>
      <c r="B69" s="315" t="s">
        <v>443</v>
      </c>
      <c r="C69" s="33" t="s">
        <v>591</v>
      </c>
      <c r="D69" s="317" t="s">
        <v>590</v>
      </c>
      <c r="E69" s="33" t="s">
        <v>21</v>
      </c>
      <c r="F69" s="52">
        <f>35.9+19.74</f>
        <v>55.64</v>
      </c>
      <c r="G69" s="60"/>
      <c r="H69" s="60"/>
    </row>
    <row r="70" spans="1:8" s="316" customFormat="1">
      <c r="A70" s="45" t="s">
        <v>41</v>
      </c>
      <c r="B70" s="315" t="s">
        <v>443</v>
      </c>
      <c r="C70" s="33" t="s">
        <v>159</v>
      </c>
      <c r="D70" s="317" t="s">
        <v>160</v>
      </c>
      <c r="E70" s="33" t="s">
        <v>19</v>
      </c>
      <c r="F70" s="52">
        <f>12.7*3</f>
        <v>38.099999999999994</v>
      </c>
      <c r="G70" s="60"/>
      <c r="H70" s="60"/>
    </row>
    <row r="71" spans="1:8" s="316" customFormat="1">
      <c r="A71" s="45" t="s">
        <v>52</v>
      </c>
      <c r="B71" s="315" t="s">
        <v>443</v>
      </c>
      <c r="C71" s="33" t="s">
        <v>161</v>
      </c>
      <c r="D71" s="32" t="s">
        <v>441</v>
      </c>
      <c r="E71" s="33" t="s">
        <v>21</v>
      </c>
      <c r="F71" s="52">
        <v>67.42</v>
      </c>
      <c r="G71" s="60"/>
      <c r="H71" s="60"/>
    </row>
    <row r="72" spans="1:8" s="316" customFormat="1">
      <c r="A72" s="45" t="s">
        <v>53</v>
      </c>
      <c r="B72" s="315" t="s">
        <v>443</v>
      </c>
      <c r="C72" s="33" t="s">
        <v>161</v>
      </c>
      <c r="D72" s="32" t="s">
        <v>592</v>
      </c>
      <c r="E72" s="33" t="s">
        <v>21</v>
      </c>
      <c r="F72" s="52">
        <v>67.42</v>
      </c>
      <c r="G72" s="60"/>
      <c r="H72" s="60"/>
    </row>
    <row r="73" spans="1:8" s="316" customFormat="1">
      <c r="A73" s="45" t="s">
        <v>54</v>
      </c>
      <c r="B73" s="315" t="s">
        <v>443</v>
      </c>
      <c r="C73" s="33" t="s">
        <v>162</v>
      </c>
      <c r="D73" s="32" t="s">
        <v>163</v>
      </c>
      <c r="E73" s="33" t="s">
        <v>21</v>
      </c>
      <c r="F73" s="52">
        <f>67.42+7.5+7.5</f>
        <v>82.42</v>
      </c>
      <c r="G73" s="48"/>
      <c r="H73" s="60"/>
    </row>
    <row r="74" spans="1:8" s="316" customFormat="1">
      <c r="A74" s="45" t="s">
        <v>55</v>
      </c>
      <c r="B74" s="315" t="s">
        <v>443</v>
      </c>
      <c r="C74" s="33" t="s">
        <v>162</v>
      </c>
      <c r="D74" s="34" t="s">
        <v>164</v>
      </c>
      <c r="E74" s="33" t="s">
        <v>21</v>
      </c>
      <c r="F74" s="52">
        <f>3.66*5</f>
        <v>18.3</v>
      </c>
      <c r="G74" s="60"/>
      <c r="H74" s="60"/>
    </row>
    <row r="75" spans="1:8" s="316" customFormat="1">
      <c r="A75" s="45" t="s">
        <v>56</v>
      </c>
      <c r="B75" s="315" t="s">
        <v>443</v>
      </c>
      <c r="C75" s="33" t="s">
        <v>165</v>
      </c>
      <c r="D75" s="34" t="s">
        <v>166</v>
      </c>
      <c r="E75" s="33" t="s">
        <v>134</v>
      </c>
      <c r="F75" s="52">
        <f>(0.6+(1.5*1.2))*15.6</f>
        <v>37.44</v>
      </c>
      <c r="G75" s="60"/>
      <c r="H75" s="60"/>
    </row>
    <row r="76" spans="1:8">
      <c r="A76" s="30"/>
      <c r="B76" s="128"/>
      <c r="C76" s="7"/>
      <c r="D76" s="22" t="s">
        <v>28</v>
      </c>
      <c r="E76" s="7"/>
      <c r="F76" s="18"/>
      <c r="G76" s="15"/>
      <c r="H76" s="20"/>
    </row>
    <row r="77" spans="1:8">
      <c r="A77" s="42">
        <v>6</v>
      </c>
      <c r="B77" s="130"/>
      <c r="C77" s="13"/>
      <c r="D77" s="11" t="s">
        <v>167</v>
      </c>
      <c r="E77" s="13"/>
      <c r="F77" s="13"/>
      <c r="G77" s="17"/>
      <c r="H77" s="16"/>
    </row>
    <row r="78" spans="1:8" s="316" customFormat="1">
      <c r="A78" s="45" t="s">
        <v>168</v>
      </c>
      <c r="B78" s="315" t="s">
        <v>443</v>
      </c>
      <c r="C78" s="33" t="s">
        <v>175</v>
      </c>
      <c r="D78" s="32" t="s">
        <v>412</v>
      </c>
      <c r="E78" s="33" t="s">
        <v>19</v>
      </c>
      <c r="F78" s="52">
        <f>(0.3*4*2*13)+(0.3*(28.51+7.66)*2)</f>
        <v>52.902000000000001</v>
      </c>
      <c r="G78" s="60"/>
      <c r="H78" s="60"/>
    </row>
    <row r="79" spans="1:8" s="316" customFormat="1">
      <c r="A79" s="45" t="s">
        <v>169</v>
      </c>
      <c r="B79" s="315" t="s">
        <v>443</v>
      </c>
      <c r="C79" s="33" t="s">
        <v>170</v>
      </c>
      <c r="D79" s="32" t="s">
        <v>171</v>
      </c>
      <c r="E79" s="33" t="s">
        <v>19</v>
      </c>
      <c r="F79" s="52">
        <f>F78</f>
        <v>52.902000000000001</v>
      </c>
      <c r="G79" s="60"/>
      <c r="H79" s="60"/>
    </row>
    <row r="80" spans="1:8" s="316" customFormat="1">
      <c r="A80" s="45" t="s">
        <v>172</v>
      </c>
      <c r="B80" s="315" t="s">
        <v>443</v>
      </c>
      <c r="C80" s="33" t="s">
        <v>170</v>
      </c>
      <c r="D80" s="32" t="s">
        <v>173</v>
      </c>
      <c r="E80" s="33" t="s">
        <v>19</v>
      </c>
      <c r="F80" s="52">
        <f>((7.65+1.2)*1.5)+(1.2*1.2)</f>
        <v>14.714999999999998</v>
      </c>
      <c r="G80" s="60"/>
      <c r="H80" s="60"/>
    </row>
    <row r="81" spans="1:8" s="316" customFormat="1">
      <c r="A81" s="45" t="s">
        <v>174</v>
      </c>
      <c r="B81" s="315" t="s">
        <v>443</v>
      </c>
      <c r="C81" s="33" t="s">
        <v>175</v>
      </c>
      <c r="D81" s="32" t="s">
        <v>413</v>
      </c>
      <c r="E81" s="33" t="s">
        <v>19</v>
      </c>
      <c r="F81" s="52">
        <f>((7.65+1.2)*1.5)+(1.2*1.2)</f>
        <v>14.714999999999998</v>
      </c>
      <c r="G81" s="60"/>
      <c r="H81" s="60"/>
    </row>
    <row r="82" spans="1:8">
      <c r="A82" s="30"/>
      <c r="B82" s="128"/>
      <c r="C82" s="7"/>
      <c r="D82" s="66" t="s">
        <v>29</v>
      </c>
      <c r="E82" s="7"/>
      <c r="F82" s="18"/>
      <c r="G82" s="15"/>
      <c r="H82" s="20"/>
    </row>
    <row r="83" spans="1:8">
      <c r="A83" s="42">
        <v>7</v>
      </c>
      <c r="B83" s="130"/>
      <c r="C83" s="13"/>
      <c r="D83" s="11" t="s">
        <v>176</v>
      </c>
      <c r="E83" s="13"/>
      <c r="F83" s="19"/>
      <c r="G83" s="17"/>
      <c r="H83" s="16"/>
    </row>
    <row r="84" spans="1:8" s="316" customFormat="1" ht="29.25">
      <c r="A84" s="45" t="s">
        <v>57</v>
      </c>
      <c r="B84" s="315" t="s">
        <v>443</v>
      </c>
      <c r="C84" s="45" t="s">
        <v>177</v>
      </c>
      <c r="D84" s="317" t="s">
        <v>178</v>
      </c>
      <c r="E84" s="45" t="s">
        <v>20</v>
      </c>
      <c r="F84" s="52">
        <f>(8.4*0.65)*0.08</f>
        <v>0.43680000000000008</v>
      </c>
      <c r="G84" s="60"/>
      <c r="H84" s="60"/>
    </row>
    <row r="85" spans="1:8" s="316" customFormat="1">
      <c r="A85" s="45" t="s">
        <v>58</v>
      </c>
      <c r="B85" s="315" t="s">
        <v>443</v>
      </c>
      <c r="C85" s="33" t="s">
        <v>179</v>
      </c>
      <c r="D85" s="317" t="s">
        <v>180</v>
      </c>
      <c r="E85" s="33" t="s">
        <v>19</v>
      </c>
      <c r="F85" s="52">
        <v>0.91</v>
      </c>
      <c r="G85" s="60"/>
      <c r="H85" s="60"/>
    </row>
    <row r="86" spans="1:8">
      <c r="A86" s="30"/>
      <c r="B86" s="128"/>
      <c r="C86" s="7"/>
      <c r="D86" s="22" t="s">
        <v>30</v>
      </c>
      <c r="E86" s="7"/>
      <c r="F86" s="18"/>
      <c r="G86" s="15"/>
      <c r="H86" s="20"/>
    </row>
    <row r="87" spans="1:8">
      <c r="A87" s="42">
        <v>8</v>
      </c>
      <c r="B87" s="130"/>
      <c r="C87" s="13"/>
      <c r="D87" s="11" t="s">
        <v>181</v>
      </c>
      <c r="E87" s="13"/>
      <c r="F87" s="13"/>
      <c r="G87" s="17"/>
      <c r="H87" s="16"/>
    </row>
    <row r="88" spans="1:8" s="316" customFormat="1">
      <c r="A88" s="45" t="s">
        <v>97</v>
      </c>
      <c r="B88" s="315" t="s">
        <v>443</v>
      </c>
      <c r="C88" s="33" t="s">
        <v>182</v>
      </c>
      <c r="D88" s="32" t="s">
        <v>183</v>
      </c>
      <c r="E88" s="33" t="s">
        <v>20</v>
      </c>
      <c r="F88" s="33">
        <v>1.56</v>
      </c>
      <c r="G88" s="60"/>
      <c r="H88" s="60"/>
    </row>
    <row r="89" spans="1:8" s="316" customFormat="1">
      <c r="A89" s="45" t="s">
        <v>98</v>
      </c>
      <c r="B89" s="315" t="s">
        <v>443</v>
      </c>
      <c r="C89" s="33" t="s">
        <v>86</v>
      </c>
      <c r="D89" s="32" t="s">
        <v>85</v>
      </c>
      <c r="E89" s="33" t="s">
        <v>20</v>
      </c>
      <c r="F89" s="52">
        <f>((6.27*6.5)+(4.05*6.5))*0.3</f>
        <v>20.123999999999999</v>
      </c>
      <c r="G89" s="60"/>
      <c r="H89" s="60"/>
    </row>
    <row r="90" spans="1:8" s="316" customFormat="1">
      <c r="A90" s="45" t="s">
        <v>99</v>
      </c>
      <c r="B90" s="315" t="s">
        <v>443</v>
      </c>
      <c r="C90" s="33" t="s">
        <v>92</v>
      </c>
      <c r="D90" s="32" t="s">
        <v>184</v>
      </c>
      <c r="E90" s="33" t="s">
        <v>21</v>
      </c>
      <c r="F90" s="52">
        <f>3*16</f>
        <v>48</v>
      </c>
      <c r="G90" s="60"/>
      <c r="H90" s="60"/>
    </row>
    <row r="91" spans="1:8" s="316" customFormat="1">
      <c r="A91" s="45" t="s">
        <v>100</v>
      </c>
      <c r="B91" s="315" t="s">
        <v>443</v>
      </c>
      <c r="C91" s="33" t="s">
        <v>130</v>
      </c>
      <c r="D91" s="32" t="s">
        <v>185</v>
      </c>
      <c r="E91" s="33" t="s">
        <v>20</v>
      </c>
      <c r="F91" s="52">
        <f>(0.2*0.2*0.5)*16</f>
        <v>0.32000000000000006</v>
      </c>
      <c r="G91" s="60"/>
      <c r="H91" s="60"/>
    </row>
    <row r="92" spans="1:8" s="316" customFormat="1">
      <c r="A92" s="45" t="s">
        <v>101</v>
      </c>
      <c r="B92" s="315" t="s">
        <v>443</v>
      </c>
      <c r="C92" s="33" t="s">
        <v>130</v>
      </c>
      <c r="D92" s="32" t="s">
        <v>135</v>
      </c>
      <c r="E92" s="33" t="s">
        <v>20</v>
      </c>
      <c r="F92" s="52">
        <f>(0.2*0.25)*(6.5*4)</f>
        <v>1.3</v>
      </c>
      <c r="G92" s="60"/>
      <c r="H92" s="60"/>
    </row>
    <row r="93" spans="1:8" s="316" customFormat="1">
      <c r="A93" s="45" t="s">
        <v>104</v>
      </c>
      <c r="B93" s="315" t="s">
        <v>443</v>
      </c>
      <c r="C93" s="33" t="s">
        <v>36</v>
      </c>
      <c r="D93" s="32" t="s">
        <v>186</v>
      </c>
      <c r="E93" s="33" t="s">
        <v>134</v>
      </c>
      <c r="F93" s="52">
        <f>1.3*90*0.8</f>
        <v>93.600000000000009</v>
      </c>
      <c r="G93" s="60"/>
      <c r="H93" s="60"/>
    </row>
    <row r="94" spans="1:8" s="316" customFormat="1">
      <c r="A94" s="45" t="s">
        <v>187</v>
      </c>
      <c r="B94" s="315" t="s">
        <v>443</v>
      </c>
      <c r="C94" s="33" t="s">
        <v>37</v>
      </c>
      <c r="D94" s="32" t="s">
        <v>188</v>
      </c>
      <c r="E94" s="33" t="s">
        <v>134</v>
      </c>
      <c r="F94" s="52">
        <f>1.3*90*0.2</f>
        <v>23.400000000000002</v>
      </c>
      <c r="G94" s="60"/>
      <c r="H94" s="60"/>
    </row>
    <row r="95" spans="1:8" s="316" customFormat="1">
      <c r="A95" s="45" t="s">
        <v>189</v>
      </c>
      <c r="B95" s="315" t="s">
        <v>443</v>
      </c>
      <c r="C95" s="33" t="s">
        <v>80</v>
      </c>
      <c r="D95" s="32" t="s">
        <v>594</v>
      </c>
      <c r="E95" s="33" t="s">
        <v>20</v>
      </c>
      <c r="F95" s="52">
        <f>0.32+1.3</f>
        <v>1.62</v>
      </c>
      <c r="G95" s="60"/>
      <c r="H95" s="60"/>
    </row>
    <row r="96" spans="1:8" s="316" customFormat="1">
      <c r="A96" s="45" t="s">
        <v>190</v>
      </c>
      <c r="B96" s="315" t="s">
        <v>443</v>
      </c>
      <c r="C96" s="33" t="s">
        <v>90</v>
      </c>
      <c r="D96" s="32" t="s">
        <v>89</v>
      </c>
      <c r="E96" s="33" t="s">
        <v>19</v>
      </c>
      <c r="F96" s="52">
        <f>(6.5*0.25*4)+(0.32)</f>
        <v>6.82</v>
      </c>
      <c r="G96" s="60"/>
      <c r="H96" s="60"/>
    </row>
    <row r="97" spans="1:9" s="316" customFormat="1">
      <c r="A97" s="45" t="s">
        <v>191</v>
      </c>
      <c r="B97" s="315" t="s">
        <v>443</v>
      </c>
      <c r="C97" s="33" t="s">
        <v>88</v>
      </c>
      <c r="D97" s="32" t="s">
        <v>87</v>
      </c>
      <c r="E97" s="33" t="s">
        <v>20</v>
      </c>
      <c r="F97" s="52">
        <f>((251.36*0.03)+((6.5*4*0.2)*0.03))</f>
        <v>7.6967999999999996</v>
      </c>
      <c r="G97" s="60"/>
      <c r="H97" s="60"/>
    </row>
    <row r="98" spans="1:9" s="316" customFormat="1">
      <c r="A98" s="45" t="s">
        <v>414</v>
      </c>
      <c r="B98" s="315" t="s">
        <v>443</v>
      </c>
      <c r="C98" s="33" t="s">
        <v>108</v>
      </c>
      <c r="D98" s="317" t="s">
        <v>660</v>
      </c>
      <c r="E98" s="33" t="s">
        <v>19</v>
      </c>
      <c r="F98" s="52">
        <f>(6.5*0.5*4)/2</f>
        <v>6.5</v>
      </c>
      <c r="G98" s="60"/>
      <c r="H98" s="60"/>
    </row>
    <row r="99" spans="1:9" s="316" customFormat="1">
      <c r="A99" s="45" t="s">
        <v>533</v>
      </c>
      <c r="B99" s="315" t="s">
        <v>443</v>
      </c>
      <c r="C99" s="33" t="s">
        <v>170</v>
      </c>
      <c r="D99" s="32" t="s">
        <v>649</v>
      </c>
      <c r="E99" s="33" t="s">
        <v>19</v>
      </c>
      <c r="F99" s="52">
        <v>6.5</v>
      </c>
      <c r="G99" s="60"/>
      <c r="H99" s="60"/>
    </row>
    <row r="100" spans="1:9" s="316" customFormat="1">
      <c r="A100" s="45" t="s">
        <v>534</v>
      </c>
      <c r="B100" s="315" t="s">
        <v>443</v>
      </c>
      <c r="C100" s="33" t="s">
        <v>175</v>
      </c>
      <c r="D100" s="32" t="s">
        <v>650</v>
      </c>
      <c r="E100" s="33" t="s">
        <v>19</v>
      </c>
      <c r="F100" s="52">
        <v>6.5</v>
      </c>
      <c r="G100" s="60"/>
      <c r="H100" s="60"/>
    </row>
    <row r="101" spans="1:9" s="316" customFormat="1" ht="28.5" customHeight="1">
      <c r="A101" s="45" t="s">
        <v>535</v>
      </c>
      <c r="B101" s="315" t="s">
        <v>443</v>
      </c>
      <c r="C101" s="45" t="s">
        <v>192</v>
      </c>
      <c r="D101" s="169" t="s">
        <v>193</v>
      </c>
      <c r="E101" s="33" t="s">
        <v>19</v>
      </c>
      <c r="F101" s="52">
        <f>(6.5*4.05)+(6.5*6.27)</f>
        <v>67.08</v>
      </c>
      <c r="G101" s="60"/>
      <c r="H101" s="60"/>
    </row>
    <row r="102" spans="1:9" s="316" customFormat="1" ht="28.5" customHeight="1">
      <c r="A102" s="45" t="s">
        <v>536</v>
      </c>
      <c r="B102" s="315" t="s">
        <v>443</v>
      </c>
      <c r="C102" s="45" t="s">
        <v>884</v>
      </c>
      <c r="D102" s="169" t="s">
        <v>885</v>
      </c>
      <c r="E102" s="33" t="s">
        <v>19</v>
      </c>
      <c r="F102" s="52">
        <f>53.08+8.62</f>
        <v>61.699999999999996</v>
      </c>
      <c r="G102" s="60"/>
      <c r="H102" s="60"/>
    </row>
    <row r="103" spans="1:9" s="316" customFormat="1" ht="28.5" customHeight="1">
      <c r="A103" s="45" t="s">
        <v>537</v>
      </c>
      <c r="B103" s="315" t="s">
        <v>443</v>
      </c>
      <c r="C103" s="45" t="s">
        <v>883</v>
      </c>
      <c r="D103" s="169" t="s">
        <v>886</v>
      </c>
      <c r="E103" s="33" t="s">
        <v>20</v>
      </c>
      <c r="F103" s="52">
        <f>(53.08+8.62)*0.05</f>
        <v>3.085</v>
      </c>
      <c r="G103" s="60"/>
      <c r="H103" s="60"/>
    </row>
    <row r="104" spans="1:9" s="316" customFormat="1" ht="28.5" customHeight="1">
      <c r="A104" s="45" t="s">
        <v>538</v>
      </c>
      <c r="B104" s="315" t="s">
        <v>443</v>
      </c>
      <c r="C104" s="45" t="s">
        <v>888</v>
      </c>
      <c r="D104" s="169" t="s">
        <v>887</v>
      </c>
      <c r="E104" s="33" t="s">
        <v>20</v>
      </c>
      <c r="F104" s="52">
        <f>100.3*0.06</f>
        <v>6.0179999999999998</v>
      </c>
      <c r="G104" s="60"/>
      <c r="H104" s="60"/>
    </row>
    <row r="105" spans="1:9">
      <c r="A105" s="30"/>
      <c r="B105" s="128"/>
      <c r="C105" s="7"/>
      <c r="D105" s="63" t="s">
        <v>96</v>
      </c>
      <c r="E105" s="7"/>
      <c r="F105" s="18"/>
      <c r="G105" s="15"/>
      <c r="H105" s="20"/>
    </row>
    <row r="106" spans="1:9">
      <c r="A106" s="42">
        <v>9</v>
      </c>
      <c r="B106" s="130"/>
      <c r="C106" s="13"/>
      <c r="D106" s="11" t="s">
        <v>194</v>
      </c>
      <c r="E106" s="13"/>
      <c r="F106" s="13"/>
      <c r="G106" s="17"/>
      <c r="H106" s="16"/>
    </row>
    <row r="107" spans="1:9" s="316" customFormat="1">
      <c r="A107" s="45" t="s">
        <v>102</v>
      </c>
      <c r="B107" s="315" t="s">
        <v>443</v>
      </c>
      <c r="C107" s="33" t="s">
        <v>195</v>
      </c>
      <c r="D107" s="317" t="s">
        <v>196</v>
      </c>
      <c r="E107" s="33" t="s">
        <v>19</v>
      </c>
      <c r="F107" s="52">
        <f>1.5*2.2</f>
        <v>3.3000000000000003</v>
      </c>
      <c r="G107" s="60"/>
      <c r="H107" s="60"/>
    </row>
    <row r="108" spans="1:9" s="316" customFormat="1">
      <c r="A108" s="45" t="s">
        <v>103</v>
      </c>
      <c r="B108" s="315" t="s">
        <v>443</v>
      </c>
      <c r="C108" s="45" t="s">
        <v>607</v>
      </c>
      <c r="D108" s="324" t="s">
        <v>606</v>
      </c>
      <c r="E108" s="33" t="s">
        <v>19</v>
      </c>
      <c r="F108" s="52">
        <f>(0.6*0.6)+(0.75*0.75)</f>
        <v>0.92249999999999999</v>
      </c>
      <c r="G108" s="60"/>
      <c r="H108" s="60"/>
    </row>
    <row r="109" spans="1:9">
      <c r="A109" s="30"/>
      <c r="B109" s="128"/>
      <c r="C109" s="68"/>
      <c r="D109" s="63" t="s">
        <v>105</v>
      </c>
      <c r="E109" s="7"/>
      <c r="F109" s="18"/>
      <c r="G109" s="15"/>
      <c r="H109" s="20"/>
    </row>
    <row r="110" spans="1:9">
      <c r="A110" s="42">
        <v>10</v>
      </c>
      <c r="B110" s="130"/>
      <c r="C110" s="13"/>
      <c r="D110" s="8" t="s">
        <v>197</v>
      </c>
      <c r="E110" s="13"/>
      <c r="F110" s="13"/>
      <c r="G110" s="17"/>
      <c r="H110" s="16"/>
    </row>
    <row r="111" spans="1:9" s="316" customFormat="1">
      <c r="A111" s="45" t="s">
        <v>198</v>
      </c>
      <c r="B111" s="315" t="s">
        <v>443</v>
      </c>
      <c r="C111" s="325" t="s">
        <v>199</v>
      </c>
      <c r="D111" s="320" t="s">
        <v>200</v>
      </c>
      <c r="E111" s="33" t="s">
        <v>19</v>
      </c>
      <c r="F111" s="52">
        <f>(0.3*4*2*13)+(0.3*(28.51+7.66)*2)</f>
        <v>52.902000000000001</v>
      </c>
      <c r="G111" s="60"/>
      <c r="H111" s="60"/>
      <c r="I111" s="294"/>
    </row>
    <row r="112" spans="1:9" s="316" customFormat="1" ht="27.75" customHeight="1">
      <c r="A112" s="45" t="s">
        <v>201</v>
      </c>
      <c r="B112" s="315" t="s">
        <v>443</v>
      </c>
      <c r="C112" s="33" t="s">
        <v>202</v>
      </c>
      <c r="D112" s="55" t="s">
        <v>203</v>
      </c>
      <c r="E112" s="33" t="s">
        <v>19</v>
      </c>
      <c r="F112" s="52">
        <f>F56*2</f>
        <v>158.07999999999998</v>
      </c>
      <c r="G112" s="60"/>
      <c r="H112" s="60"/>
    </row>
    <row r="113" spans="1:8" s="316" customFormat="1">
      <c r="A113" s="45" t="s">
        <v>204</v>
      </c>
      <c r="B113" s="315" t="s">
        <v>443</v>
      </c>
      <c r="C113" s="33" t="s">
        <v>50</v>
      </c>
      <c r="D113" s="34" t="s">
        <v>205</v>
      </c>
      <c r="E113" s="33" t="s">
        <v>19</v>
      </c>
      <c r="F113" s="52">
        <f>((8.14*2*0.18)+(8.64*0.12))*11</f>
        <v>43.639200000000002</v>
      </c>
      <c r="G113" s="60"/>
      <c r="H113" s="60"/>
    </row>
    <row r="114" spans="1:8" s="316" customFormat="1">
      <c r="A114" s="45" t="s">
        <v>206</v>
      </c>
      <c r="B114" s="315" t="s">
        <v>443</v>
      </c>
      <c r="C114" s="33" t="s">
        <v>50</v>
      </c>
      <c r="D114" s="34" t="s">
        <v>207</v>
      </c>
      <c r="E114" s="33" t="s">
        <v>19</v>
      </c>
      <c r="F114" s="52">
        <f>((9.7*4)+(8.4+0.65))*0.12*2</f>
        <v>11.483999999999998</v>
      </c>
      <c r="G114" s="60"/>
      <c r="H114" s="60"/>
    </row>
    <row r="115" spans="1:8" s="316" customFormat="1">
      <c r="A115" s="45" t="s">
        <v>208</v>
      </c>
      <c r="B115" s="315" t="s">
        <v>443</v>
      </c>
      <c r="C115" s="33" t="s">
        <v>50</v>
      </c>
      <c r="D115" s="34" t="s">
        <v>845</v>
      </c>
      <c r="E115" s="33" t="s">
        <v>19</v>
      </c>
      <c r="F115" s="52">
        <f>1.5*2.2</f>
        <v>3.3000000000000003</v>
      </c>
      <c r="G115" s="60"/>
      <c r="H115" s="60"/>
    </row>
    <row r="116" spans="1:8" s="316" customFormat="1">
      <c r="A116" s="45" t="s">
        <v>210</v>
      </c>
      <c r="B116" s="315" t="s">
        <v>443</v>
      </c>
      <c r="C116" s="33" t="s">
        <v>211</v>
      </c>
      <c r="D116" s="34" t="s">
        <v>212</v>
      </c>
      <c r="E116" s="33" t="s">
        <v>19</v>
      </c>
      <c r="F116" s="52">
        <f>31.895*1.5</f>
        <v>47.842500000000001</v>
      </c>
      <c r="G116" s="60"/>
      <c r="H116" s="60"/>
    </row>
    <row r="117" spans="1:8">
      <c r="A117" s="30"/>
      <c r="B117" s="128"/>
      <c r="C117" s="7"/>
      <c r="D117" s="66" t="s">
        <v>213</v>
      </c>
      <c r="E117" s="7"/>
      <c r="F117" s="18"/>
      <c r="G117" s="15"/>
      <c r="H117" s="20"/>
    </row>
    <row r="118" spans="1:8">
      <c r="A118" s="42">
        <v>11</v>
      </c>
      <c r="B118" s="131"/>
      <c r="C118" s="13"/>
      <c r="D118" s="8" t="s">
        <v>214</v>
      </c>
      <c r="E118" s="13"/>
      <c r="F118" s="13"/>
      <c r="G118" s="17"/>
      <c r="H118" s="16"/>
    </row>
    <row r="119" spans="1:8" s="316" customFormat="1">
      <c r="A119" s="45" t="s">
        <v>9</v>
      </c>
      <c r="B119" s="315" t="s">
        <v>443</v>
      </c>
      <c r="C119" s="33" t="s">
        <v>215</v>
      </c>
      <c r="D119" s="323" t="s">
        <v>216</v>
      </c>
      <c r="E119" s="33" t="s">
        <v>21</v>
      </c>
      <c r="F119" s="52">
        <f>(6.5*4)+(0.65)</f>
        <v>26.65</v>
      </c>
      <c r="G119" s="60"/>
      <c r="H119" s="60"/>
    </row>
    <row r="120" spans="1:8" s="316" customFormat="1">
      <c r="A120" s="45" t="s">
        <v>38</v>
      </c>
      <c r="B120" s="315" t="s">
        <v>443</v>
      </c>
      <c r="C120" s="33" t="s">
        <v>217</v>
      </c>
      <c r="D120" s="195" t="s">
        <v>218</v>
      </c>
      <c r="E120" s="33" t="s">
        <v>219</v>
      </c>
      <c r="F120" s="52">
        <v>1</v>
      </c>
      <c r="G120" s="60"/>
      <c r="H120" s="60"/>
    </row>
    <row r="121" spans="1:8">
      <c r="A121" s="30"/>
      <c r="B121" s="127"/>
      <c r="C121" s="7"/>
      <c r="D121" s="66" t="s">
        <v>220</v>
      </c>
      <c r="E121" s="7"/>
      <c r="F121" s="7"/>
      <c r="G121" s="15"/>
      <c r="H121" s="20"/>
    </row>
    <row r="122" spans="1:8">
      <c r="A122" s="42">
        <v>12</v>
      </c>
      <c r="B122" s="130"/>
      <c r="C122" s="13"/>
      <c r="D122" s="8" t="s">
        <v>221</v>
      </c>
      <c r="E122" s="13"/>
      <c r="F122" s="13"/>
      <c r="G122" s="17"/>
      <c r="H122" s="16"/>
    </row>
    <row r="123" spans="1:8" s="316" customFormat="1">
      <c r="A123" s="45" t="s">
        <v>222</v>
      </c>
      <c r="B123" s="315" t="s">
        <v>443</v>
      </c>
      <c r="C123" s="33" t="s">
        <v>223</v>
      </c>
      <c r="D123" s="34" t="s">
        <v>224</v>
      </c>
      <c r="E123" s="33" t="s">
        <v>21</v>
      </c>
      <c r="F123" s="52">
        <f>(24.95+3.75+2.8)</f>
        <v>31.5</v>
      </c>
      <c r="G123" s="60"/>
      <c r="H123" s="60"/>
    </row>
    <row r="124" spans="1:8" s="316" customFormat="1">
      <c r="A124" s="45" t="s">
        <v>225</v>
      </c>
      <c r="B124" s="315" t="s">
        <v>443</v>
      </c>
      <c r="C124" s="325" t="s">
        <v>60</v>
      </c>
      <c r="D124" s="320" t="s">
        <v>59</v>
      </c>
      <c r="E124" s="33" t="s">
        <v>21</v>
      </c>
      <c r="F124" s="52">
        <f>((29.36)+(3.2*3)+(3.2*3)+(25))*3</f>
        <v>220.68</v>
      </c>
      <c r="G124" s="60"/>
      <c r="H124" s="60"/>
    </row>
    <row r="125" spans="1:8" s="316" customFormat="1">
      <c r="A125" s="45" t="s">
        <v>226</v>
      </c>
      <c r="B125" s="315" t="s">
        <v>443</v>
      </c>
      <c r="C125" s="325" t="s">
        <v>43</v>
      </c>
      <c r="D125" s="320" t="s">
        <v>42</v>
      </c>
      <c r="E125" s="33" t="s">
        <v>21</v>
      </c>
      <c r="F125" s="52">
        <f>(16.95+5.56)*3</f>
        <v>67.53</v>
      </c>
      <c r="G125" s="60"/>
      <c r="H125" s="60"/>
    </row>
    <row r="126" spans="1:8" s="316" customFormat="1" ht="29.25">
      <c r="A126" s="45" t="s">
        <v>227</v>
      </c>
      <c r="B126" s="315" t="s">
        <v>443</v>
      </c>
      <c r="C126" s="325" t="s">
        <v>228</v>
      </c>
      <c r="D126" s="320" t="s">
        <v>229</v>
      </c>
      <c r="E126" s="33" t="s">
        <v>21</v>
      </c>
      <c r="F126" s="52">
        <f>(11.4+3.3)*3</f>
        <v>44.099999999999994</v>
      </c>
      <c r="G126" s="60"/>
      <c r="H126" s="60"/>
    </row>
    <row r="127" spans="1:8" s="316" customFormat="1">
      <c r="A127" s="45" t="s">
        <v>230</v>
      </c>
      <c r="B127" s="315" t="s">
        <v>443</v>
      </c>
      <c r="C127" s="325" t="s">
        <v>231</v>
      </c>
      <c r="D127" s="320" t="s">
        <v>232</v>
      </c>
      <c r="E127" s="33" t="s">
        <v>39</v>
      </c>
      <c r="F127" s="52">
        <v>1</v>
      </c>
      <c r="G127" s="60"/>
      <c r="H127" s="60"/>
    </row>
    <row r="128" spans="1:8" s="316" customFormat="1">
      <c r="A128" s="45" t="s">
        <v>233</v>
      </c>
      <c r="B128" s="315" t="s">
        <v>443</v>
      </c>
      <c r="C128" s="325" t="s">
        <v>234</v>
      </c>
      <c r="D128" s="320" t="s">
        <v>235</v>
      </c>
      <c r="E128" s="33" t="s">
        <v>21</v>
      </c>
      <c r="F128" s="52">
        <f>(3.6*5)+7</f>
        <v>25</v>
      </c>
      <c r="G128" s="60"/>
      <c r="H128" s="60"/>
    </row>
    <row r="129" spans="1:8" s="316" customFormat="1">
      <c r="A129" s="45" t="s">
        <v>236</v>
      </c>
      <c r="B129" s="315" t="s">
        <v>443</v>
      </c>
      <c r="C129" s="325" t="s">
        <v>237</v>
      </c>
      <c r="D129" s="320" t="s">
        <v>238</v>
      </c>
      <c r="E129" s="33" t="s">
        <v>21</v>
      </c>
      <c r="F129" s="52">
        <v>3</v>
      </c>
      <c r="G129" s="60"/>
      <c r="H129" s="60"/>
    </row>
    <row r="130" spans="1:8" s="316" customFormat="1">
      <c r="A130" s="45" t="s">
        <v>239</v>
      </c>
      <c r="B130" s="315" t="s">
        <v>443</v>
      </c>
      <c r="C130" s="325" t="s">
        <v>240</v>
      </c>
      <c r="D130" s="320" t="s">
        <v>241</v>
      </c>
      <c r="E130" s="33" t="s">
        <v>242</v>
      </c>
      <c r="F130" s="52">
        <v>5</v>
      </c>
      <c r="G130" s="60"/>
      <c r="H130" s="60"/>
    </row>
    <row r="131" spans="1:8" s="316" customFormat="1">
      <c r="A131" s="45" t="s">
        <v>243</v>
      </c>
      <c r="B131" s="315" t="s">
        <v>443</v>
      </c>
      <c r="C131" s="325" t="s">
        <v>244</v>
      </c>
      <c r="D131" s="320" t="s">
        <v>245</v>
      </c>
      <c r="E131" s="33" t="s">
        <v>39</v>
      </c>
      <c r="F131" s="52">
        <v>4</v>
      </c>
      <c r="G131" s="60"/>
      <c r="H131" s="60"/>
    </row>
    <row r="132" spans="1:8" s="316" customFormat="1">
      <c r="A132" s="45" t="s">
        <v>246</v>
      </c>
      <c r="B132" s="315" t="s">
        <v>443</v>
      </c>
      <c r="C132" s="325" t="s">
        <v>247</v>
      </c>
      <c r="D132" s="320" t="s">
        <v>248</v>
      </c>
      <c r="E132" s="33" t="s">
        <v>48</v>
      </c>
      <c r="F132" s="52">
        <v>2</v>
      </c>
      <c r="G132" s="60"/>
      <c r="H132" s="60"/>
    </row>
    <row r="133" spans="1:8" s="316" customFormat="1">
      <c r="A133" s="45" t="s">
        <v>249</v>
      </c>
      <c r="B133" s="315" t="s">
        <v>443</v>
      </c>
      <c r="C133" s="325" t="s">
        <v>690</v>
      </c>
      <c r="D133" s="320" t="s">
        <v>689</v>
      </c>
      <c r="E133" s="33" t="s">
        <v>48</v>
      </c>
      <c r="F133" s="52">
        <v>1</v>
      </c>
      <c r="G133" s="60"/>
      <c r="H133" s="60"/>
    </row>
    <row r="134" spans="1:8" s="316" customFormat="1">
      <c r="A134" s="45" t="s">
        <v>252</v>
      </c>
      <c r="B134" s="315" t="s">
        <v>443</v>
      </c>
      <c r="C134" s="325" t="s">
        <v>250</v>
      </c>
      <c r="D134" s="320" t="s">
        <v>251</v>
      </c>
      <c r="E134" s="33" t="s">
        <v>48</v>
      </c>
      <c r="F134" s="52">
        <v>4</v>
      </c>
      <c r="G134" s="60"/>
      <c r="H134" s="60"/>
    </row>
    <row r="135" spans="1:8" s="316" customFormat="1">
      <c r="A135" s="45" t="s">
        <v>253</v>
      </c>
      <c r="B135" s="315" t="s">
        <v>443</v>
      </c>
      <c r="C135" s="325" t="s">
        <v>46</v>
      </c>
      <c r="D135" s="320" t="s">
        <v>45</v>
      </c>
      <c r="E135" s="33" t="s">
        <v>254</v>
      </c>
      <c r="F135" s="52">
        <v>5</v>
      </c>
      <c r="G135" s="60"/>
      <c r="H135" s="60"/>
    </row>
    <row r="136" spans="1:8" s="316" customFormat="1">
      <c r="A136" s="45" t="s">
        <v>255</v>
      </c>
      <c r="B136" s="315" t="s">
        <v>443</v>
      </c>
      <c r="C136" s="325" t="s">
        <v>256</v>
      </c>
      <c r="D136" s="320" t="s">
        <v>257</v>
      </c>
      <c r="E136" s="33" t="s">
        <v>21</v>
      </c>
      <c r="F136" s="52">
        <f>11.4+9.4+25</f>
        <v>45.8</v>
      </c>
      <c r="G136" s="60"/>
      <c r="H136" s="60"/>
    </row>
    <row r="137" spans="1:8" s="316" customFormat="1" ht="28.5" customHeight="1">
      <c r="A137" s="45" t="s">
        <v>258</v>
      </c>
      <c r="B137" s="315" t="s">
        <v>443</v>
      </c>
      <c r="C137" s="325" t="s">
        <v>259</v>
      </c>
      <c r="D137" s="320" t="s">
        <v>260</v>
      </c>
      <c r="E137" s="33" t="s">
        <v>254</v>
      </c>
      <c r="F137" s="52">
        <v>5</v>
      </c>
      <c r="G137" s="60"/>
      <c r="H137" s="60"/>
    </row>
    <row r="138" spans="1:8" s="316" customFormat="1">
      <c r="A138" s="45" t="s">
        <v>261</v>
      </c>
      <c r="B138" s="315" t="s">
        <v>443</v>
      </c>
      <c r="C138" s="325" t="s">
        <v>262</v>
      </c>
      <c r="D138" s="320" t="s">
        <v>263</v>
      </c>
      <c r="E138" s="33" t="s">
        <v>254</v>
      </c>
      <c r="F138" s="52">
        <v>5</v>
      </c>
      <c r="G138" s="60"/>
      <c r="H138" s="60"/>
    </row>
    <row r="139" spans="1:8" s="316" customFormat="1">
      <c r="A139" s="45" t="s">
        <v>264</v>
      </c>
      <c r="B139" s="315" t="s">
        <v>443</v>
      </c>
      <c r="C139" s="325" t="s">
        <v>265</v>
      </c>
      <c r="D139" s="320" t="s">
        <v>266</v>
      </c>
      <c r="E139" s="33" t="s">
        <v>254</v>
      </c>
      <c r="F139" s="52">
        <v>2</v>
      </c>
      <c r="G139" s="60"/>
      <c r="H139" s="60"/>
    </row>
    <row r="140" spans="1:8" s="316" customFormat="1" ht="14.25" customHeight="1">
      <c r="A140" s="45" t="s">
        <v>691</v>
      </c>
      <c r="B140" s="315" t="s">
        <v>443</v>
      </c>
      <c r="C140" s="325" t="s">
        <v>262</v>
      </c>
      <c r="D140" s="320" t="s">
        <v>267</v>
      </c>
      <c r="E140" s="33" t="s">
        <v>254</v>
      </c>
      <c r="F140" s="52">
        <v>2</v>
      </c>
      <c r="G140" s="60"/>
      <c r="H140" s="60"/>
    </row>
    <row r="141" spans="1:8">
      <c r="A141" s="30"/>
      <c r="B141" s="128"/>
      <c r="C141" s="68"/>
      <c r="D141" s="66" t="s">
        <v>268</v>
      </c>
      <c r="E141" s="7"/>
      <c r="F141" s="7"/>
      <c r="G141" s="15"/>
      <c r="H141" s="20"/>
    </row>
    <row r="142" spans="1:8">
      <c r="A142" s="42">
        <v>13</v>
      </c>
      <c r="B142" s="130"/>
      <c r="C142" s="13"/>
      <c r="D142" s="70" t="s">
        <v>269</v>
      </c>
      <c r="E142" s="13"/>
      <c r="F142" s="13"/>
      <c r="G142" s="17"/>
      <c r="H142" s="16"/>
    </row>
    <row r="143" spans="1:8" s="316" customFormat="1" ht="42.75">
      <c r="A143" s="45" t="s">
        <v>270</v>
      </c>
      <c r="B143" s="315" t="s">
        <v>443</v>
      </c>
      <c r="C143" s="45" t="s">
        <v>271</v>
      </c>
      <c r="D143" s="321" t="s">
        <v>272</v>
      </c>
      <c r="E143" s="45" t="s">
        <v>21</v>
      </c>
      <c r="F143" s="117">
        <f>(8*2)+(5.25*3)+16.55</f>
        <v>48.3</v>
      </c>
      <c r="G143" s="61"/>
      <c r="H143" s="61"/>
    </row>
    <row r="144" spans="1:8" s="316" customFormat="1" ht="28.5">
      <c r="A144" s="45" t="s">
        <v>273</v>
      </c>
      <c r="B144" s="315" t="s">
        <v>443</v>
      </c>
      <c r="C144" s="45" t="s">
        <v>275</v>
      </c>
      <c r="D144" s="321" t="s">
        <v>553</v>
      </c>
      <c r="E144" s="45" t="s">
        <v>21</v>
      </c>
      <c r="F144" s="117">
        <f>1.42+1.1+5.83+13.15</f>
        <v>21.5</v>
      </c>
      <c r="G144" s="61"/>
      <c r="H144" s="61"/>
    </row>
    <row r="145" spans="1:8" s="316" customFormat="1">
      <c r="A145" s="45" t="s">
        <v>415</v>
      </c>
      <c r="B145" s="315" t="s">
        <v>443</v>
      </c>
      <c r="C145" s="322" t="s">
        <v>678</v>
      </c>
      <c r="D145" s="321" t="s">
        <v>677</v>
      </c>
      <c r="E145" s="45" t="s">
        <v>39</v>
      </c>
      <c r="F145" s="52">
        <v>2</v>
      </c>
      <c r="G145" s="323"/>
      <c r="H145" s="61"/>
    </row>
    <row r="146" spans="1:8" s="316" customFormat="1" ht="28.5">
      <c r="A146" s="45" t="s">
        <v>274</v>
      </c>
      <c r="B146" s="315" t="s">
        <v>443</v>
      </c>
      <c r="C146" s="45" t="s">
        <v>278</v>
      </c>
      <c r="D146" s="321" t="s">
        <v>554</v>
      </c>
      <c r="E146" s="45" t="s">
        <v>39</v>
      </c>
      <c r="F146" s="52">
        <v>1</v>
      </c>
      <c r="G146" s="61"/>
      <c r="H146" s="61"/>
    </row>
    <row r="147" spans="1:8" s="316" customFormat="1">
      <c r="A147" s="45" t="s">
        <v>276</v>
      </c>
      <c r="B147" s="315" t="s">
        <v>443</v>
      </c>
      <c r="C147" s="45" t="s">
        <v>280</v>
      </c>
      <c r="D147" s="321" t="s">
        <v>555</v>
      </c>
      <c r="E147" s="45" t="s">
        <v>39</v>
      </c>
      <c r="F147" s="52">
        <v>1</v>
      </c>
      <c r="G147" s="61"/>
      <c r="H147" s="61"/>
    </row>
    <row r="148" spans="1:8" s="316" customFormat="1">
      <c r="A148" s="45" t="s">
        <v>277</v>
      </c>
      <c r="B148" s="315" t="s">
        <v>443</v>
      </c>
      <c r="C148" s="45" t="s">
        <v>282</v>
      </c>
      <c r="D148" s="321" t="s">
        <v>556</v>
      </c>
      <c r="E148" s="45" t="s">
        <v>19</v>
      </c>
      <c r="F148" s="52">
        <v>0.5</v>
      </c>
      <c r="G148" s="61"/>
      <c r="H148" s="61"/>
    </row>
    <row r="149" spans="1:8" s="316" customFormat="1">
      <c r="A149" s="45" t="s">
        <v>279</v>
      </c>
      <c r="B149" s="315" t="s">
        <v>443</v>
      </c>
      <c r="C149" s="45" t="s">
        <v>284</v>
      </c>
      <c r="D149" s="321" t="s">
        <v>557</v>
      </c>
      <c r="E149" s="45" t="s">
        <v>39</v>
      </c>
      <c r="F149" s="52">
        <v>1</v>
      </c>
      <c r="G149" s="61"/>
      <c r="H149" s="61"/>
    </row>
    <row r="150" spans="1:8" s="316" customFormat="1">
      <c r="A150" s="45" t="s">
        <v>281</v>
      </c>
      <c r="B150" s="315" t="s">
        <v>443</v>
      </c>
      <c r="C150" s="45" t="s">
        <v>286</v>
      </c>
      <c r="D150" s="321" t="s">
        <v>287</v>
      </c>
      <c r="E150" s="45" t="s">
        <v>39</v>
      </c>
      <c r="F150" s="52">
        <v>1</v>
      </c>
      <c r="G150" s="61"/>
      <c r="H150" s="61"/>
    </row>
    <row r="151" spans="1:8" s="316" customFormat="1">
      <c r="A151" s="45" t="s">
        <v>283</v>
      </c>
      <c r="B151" s="315" t="s">
        <v>443</v>
      </c>
      <c r="C151" s="45" t="s">
        <v>609</v>
      </c>
      <c r="D151" s="321" t="s">
        <v>608</v>
      </c>
      <c r="E151" s="45" t="s">
        <v>39</v>
      </c>
      <c r="F151" s="52">
        <v>1</v>
      </c>
      <c r="G151" s="61"/>
      <c r="H151" s="61"/>
    </row>
    <row r="152" spans="1:8" s="316" customFormat="1">
      <c r="A152" s="45" t="s">
        <v>285</v>
      </c>
      <c r="B152" s="315" t="s">
        <v>443</v>
      </c>
      <c r="C152" s="45" t="s">
        <v>611</v>
      </c>
      <c r="D152" s="321" t="s">
        <v>610</v>
      </c>
      <c r="E152" s="45" t="s">
        <v>21</v>
      </c>
      <c r="F152" s="52">
        <f>6.75+2</f>
        <v>8.75</v>
      </c>
      <c r="G152" s="61"/>
      <c r="H152" s="61"/>
    </row>
    <row r="153" spans="1:8" s="316" customFormat="1" ht="28.5">
      <c r="A153" s="45" t="s">
        <v>288</v>
      </c>
      <c r="B153" s="315" t="s">
        <v>443</v>
      </c>
      <c r="C153" s="45" t="s">
        <v>614</v>
      </c>
      <c r="D153" s="321" t="s">
        <v>613</v>
      </c>
      <c r="E153" s="45" t="s">
        <v>21</v>
      </c>
      <c r="F153" s="52">
        <f>28.5+3.05</f>
        <v>31.55</v>
      </c>
      <c r="G153" s="61"/>
      <c r="H153" s="61"/>
    </row>
    <row r="154" spans="1:8" s="316" customFormat="1" ht="28.5">
      <c r="A154" s="45" t="s">
        <v>599</v>
      </c>
      <c r="B154" s="315" t="s">
        <v>443</v>
      </c>
      <c r="C154" s="45" t="s">
        <v>289</v>
      </c>
      <c r="D154" s="321" t="s">
        <v>290</v>
      </c>
      <c r="E154" s="45" t="s">
        <v>51</v>
      </c>
      <c r="F154" s="52">
        <f>(2.23*0.12*0.002*7850*6)+(20.71*0.12*0.002*7850)</f>
        <v>64.225560000000002</v>
      </c>
      <c r="G154" s="61"/>
      <c r="H154" s="61"/>
    </row>
    <row r="155" spans="1:8" s="316" customFormat="1" ht="28.5">
      <c r="A155" s="45" t="s">
        <v>600</v>
      </c>
      <c r="B155" s="315" t="s">
        <v>443</v>
      </c>
      <c r="C155" s="45" t="s">
        <v>291</v>
      </c>
      <c r="D155" s="321" t="s">
        <v>292</v>
      </c>
      <c r="E155" s="45" t="s">
        <v>19</v>
      </c>
      <c r="F155" s="52">
        <v>15.62</v>
      </c>
      <c r="G155" s="45"/>
      <c r="H155" s="61"/>
    </row>
    <row r="156" spans="1:8" s="316" customFormat="1">
      <c r="A156" s="45" t="s">
        <v>612</v>
      </c>
      <c r="B156" s="315" t="s">
        <v>443</v>
      </c>
      <c r="C156" s="45" t="s">
        <v>607</v>
      </c>
      <c r="D156" s="324" t="s">
        <v>606</v>
      </c>
      <c r="E156" s="33" t="s">
        <v>19</v>
      </c>
      <c r="F156" s="52">
        <f>0.8*0.8</f>
        <v>0.64000000000000012</v>
      </c>
      <c r="G156" s="61"/>
      <c r="H156" s="61"/>
    </row>
    <row r="157" spans="1:8">
      <c r="A157" s="30"/>
      <c r="B157" s="128"/>
      <c r="C157" s="7"/>
      <c r="D157" s="66" t="s">
        <v>293</v>
      </c>
      <c r="E157" s="7"/>
      <c r="F157" s="18"/>
      <c r="G157" s="15"/>
      <c r="H157" s="20"/>
    </row>
    <row r="158" spans="1:8">
      <c r="A158" s="30"/>
      <c r="B158" s="128"/>
      <c r="C158" s="7"/>
      <c r="D158" s="66"/>
      <c r="E158" s="7"/>
      <c r="F158" s="18"/>
      <c r="G158" s="15"/>
      <c r="H158" s="20"/>
    </row>
    <row r="159" spans="1:8">
      <c r="A159" s="42">
        <v>14</v>
      </c>
      <c r="B159" s="130"/>
      <c r="C159" s="13"/>
      <c r="D159" s="8" t="s">
        <v>294</v>
      </c>
      <c r="E159" s="13"/>
      <c r="F159" s="13"/>
      <c r="G159" s="17"/>
      <c r="H159" s="16"/>
    </row>
    <row r="160" spans="1:8" s="316" customFormat="1">
      <c r="A160" s="318" t="s">
        <v>295</v>
      </c>
      <c r="B160" s="315" t="s">
        <v>443</v>
      </c>
      <c r="C160" s="33" t="s">
        <v>296</v>
      </c>
      <c r="D160" s="319" t="s">
        <v>297</v>
      </c>
      <c r="E160" s="33" t="s">
        <v>39</v>
      </c>
      <c r="F160" s="52">
        <v>1</v>
      </c>
      <c r="G160" s="60"/>
      <c r="H160" s="60"/>
    </row>
    <row r="161" spans="1:8" s="316" customFormat="1">
      <c r="A161" s="318" t="s">
        <v>298</v>
      </c>
      <c r="B161" s="315" t="s">
        <v>443</v>
      </c>
      <c r="C161" s="33" t="s">
        <v>299</v>
      </c>
      <c r="D161" s="319" t="s">
        <v>300</v>
      </c>
      <c r="E161" s="33" t="s">
        <v>39</v>
      </c>
      <c r="F161" s="52">
        <v>1</v>
      </c>
      <c r="G161" s="60"/>
      <c r="H161" s="60"/>
    </row>
    <row r="162" spans="1:8" s="316" customFormat="1" ht="29.25">
      <c r="A162" s="318" t="s">
        <v>301</v>
      </c>
      <c r="B162" s="315" t="s">
        <v>443</v>
      </c>
      <c r="C162" s="33" t="s">
        <v>302</v>
      </c>
      <c r="D162" s="320" t="s">
        <v>303</v>
      </c>
      <c r="E162" s="33" t="s">
        <v>39</v>
      </c>
      <c r="F162" s="52">
        <v>1</v>
      </c>
      <c r="G162" s="61"/>
      <c r="H162" s="60"/>
    </row>
    <row r="163" spans="1:8" s="316" customFormat="1" ht="29.25">
      <c r="A163" s="318" t="s">
        <v>304</v>
      </c>
      <c r="B163" s="315" t="s">
        <v>443</v>
      </c>
      <c r="C163" s="33" t="s">
        <v>305</v>
      </c>
      <c r="D163" s="320" t="s">
        <v>306</v>
      </c>
      <c r="E163" s="33" t="s">
        <v>39</v>
      </c>
      <c r="F163" s="52">
        <v>2</v>
      </c>
      <c r="G163" s="60"/>
      <c r="H163" s="60"/>
    </row>
    <row r="164" spans="1:8" s="316" customFormat="1" ht="29.25">
      <c r="A164" s="318" t="s">
        <v>439</v>
      </c>
      <c r="B164" s="315" t="s">
        <v>443</v>
      </c>
      <c r="C164" s="33" t="s">
        <v>307</v>
      </c>
      <c r="D164" s="320" t="s">
        <v>308</v>
      </c>
      <c r="E164" s="33" t="s">
        <v>19</v>
      </c>
      <c r="F164" s="52">
        <f>0.25+0.5</f>
        <v>0.75</v>
      </c>
      <c r="G164" s="60"/>
      <c r="H164" s="60"/>
    </row>
    <row r="165" spans="1:8">
      <c r="A165" s="105"/>
      <c r="B165" s="128"/>
      <c r="C165" s="7"/>
      <c r="D165" s="63" t="s">
        <v>328</v>
      </c>
      <c r="E165" s="7"/>
      <c r="F165" s="18"/>
      <c r="G165" s="15"/>
      <c r="H165" s="20"/>
    </row>
    <row r="166" spans="1:8">
      <c r="A166" s="105"/>
      <c r="B166" s="128"/>
      <c r="C166" s="7"/>
      <c r="D166" s="63"/>
      <c r="E166" s="7"/>
      <c r="F166" s="18"/>
      <c r="G166" s="15"/>
      <c r="H166" s="20"/>
    </row>
    <row r="167" spans="1:8">
      <c r="A167" s="119">
        <v>15</v>
      </c>
      <c r="B167" s="132"/>
      <c r="C167" s="14"/>
      <c r="D167" s="120" t="s">
        <v>419</v>
      </c>
      <c r="E167" s="14"/>
      <c r="F167" s="111"/>
      <c r="G167" s="16"/>
      <c r="H167" s="17"/>
    </row>
    <row r="168" spans="1:8" s="316" customFormat="1" ht="29.25">
      <c r="A168" s="45" t="s">
        <v>330</v>
      </c>
      <c r="B168" s="315" t="s">
        <v>443</v>
      </c>
      <c r="C168" s="45" t="s">
        <v>436</v>
      </c>
      <c r="D168" s="317" t="s">
        <v>435</v>
      </c>
      <c r="E168" s="33" t="s">
        <v>19</v>
      </c>
      <c r="F168" s="52">
        <v>479.27499999999998</v>
      </c>
      <c r="G168" s="60"/>
      <c r="H168" s="60"/>
    </row>
    <row r="169" spans="1:8" s="316" customFormat="1">
      <c r="A169" s="45" t="s">
        <v>431</v>
      </c>
      <c r="B169" s="315" t="s">
        <v>443</v>
      </c>
      <c r="C169" s="33" t="s">
        <v>434</v>
      </c>
      <c r="D169" s="317" t="s">
        <v>433</v>
      </c>
      <c r="E169" s="33" t="s">
        <v>19</v>
      </c>
      <c r="F169" s="52">
        <f>F168</f>
        <v>479.27499999999998</v>
      </c>
      <c r="G169" s="60"/>
      <c r="H169" s="60"/>
    </row>
    <row r="170" spans="1:8" s="316" customFormat="1">
      <c r="A170" s="45" t="s">
        <v>432</v>
      </c>
      <c r="B170" s="315" t="s">
        <v>443</v>
      </c>
      <c r="C170" s="33" t="s">
        <v>421</v>
      </c>
      <c r="D170" s="317" t="s">
        <v>420</v>
      </c>
      <c r="E170" s="33" t="s">
        <v>19</v>
      </c>
      <c r="F170" s="52">
        <f>F168</f>
        <v>479.27499999999998</v>
      </c>
      <c r="G170" s="60"/>
      <c r="H170" s="60"/>
    </row>
    <row r="171" spans="1:8" s="316" customFormat="1">
      <c r="A171" s="45" t="s">
        <v>437</v>
      </c>
      <c r="B171" s="315" t="s">
        <v>443</v>
      </c>
      <c r="C171" s="33" t="s">
        <v>423</v>
      </c>
      <c r="D171" s="317" t="s">
        <v>422</v>
      </c>
      <c r="E171" s="33" t="s">
        <v>39</v>
      </c>
      <c r="F171" s="52">
        <v>18</v>
      </c>
      <c r="G171" s="60"/>
      <c r="H171" s="60"/>
    </row>
    <row r="172" spans="1:8" s="316" customFormat="1">
      <c r="A172" s="45" t="s">
        <v>603</v>
      </c>
      <c r="B172" s="315" t="s">
        <v>443</v>
      </c>
      <c r="C172" s="33" t="s">
        <v>602</v>
      </c>
      <c r="D172" s="317" t="s">
        <v>601</v>
      </c>
      <c r="E172" s="33" t="s">
        <v>39</v>
      </c>
      <c r="F172" s="52">
        <v>6</v>
      </c>
      <c r="G172" s="60"/>
      <c r="H172" s="60"/>
    </row>
    <row r="173" spans="1:8" s="316" customFormat="1" ht="29.25">
      <c r="A173" s="45" t="s">
        <v>605</v>
      </c>
      <c r="B173" s="315" t="s">
        <v>443</v>
      </c>
      <c r="C173" s="33" t="s">
        <v>192</v>
      </c>
      <c r="D173" s="169" t="s">
        <v>193</v>
      </c>
      <c r="E173" s="33" t="s">
        <v>19</v>
      </c>
      <c r="F173" s="52">
        <v>95.81</v>
      </c>
      <c r="G173" s="60"/>
      <c r="H173" s="60"/>
    </row>
    <row r="174" spans="1:8" s="316" customFormat="1">
      <c r="A174" s="45" t="s">
        <v>882</v>
      </c>
      <c r="B174" s="315" t="s">
        <v>443</v>
      </c>
      <c r="C174" s="330" t="s">
        <v>879</v>
      </c>
      <c r="D174" s="317" t="s">
        <v>880</v>
      </c>
      <c r="E174" s="33" t="s">
        <v>19</v>
      </c>
      <c r="F174" s="52">
        <v>62.13</v>
      </c>
      <c r="G174" s="60"/>
      <c r="H174" s="60"/>
    </row>
    <row r="175" spans="1:8">
      <c r="A175" s="105"/>
      <c r="B175" s="128"/>
      <c r="C175" s="7"/>
      <c r="D175" s="63" t="s">
        <v>333</v>
      </c>
      <c r="E175" s="7"/>
      <c r="F175" s="118"/>
      <c r="G175" s="65"/>
      <c r="H175" s="126"/>
    </row>
    <row r="176" spans="1:8">
      <c r="A176" s="105"/>
      <c r="B176" s="128"/>
      <c r="C176" s="7"/>
      <c r="D176" s="63"/>
      <c r="E176" s="7"/>
      <c r="F176" s="18"/>
      <c r="G176" s="15"/>
      <c r="H176" s="20"/>
    </row>
    <row r="177" spans="1:8">
      <c r="A177" s="42">
        <v>16</v>
      </c>
      <c r="B177" s="130"/>
      <c r="C177" s="13"/>
      <c r="D177" s="8" t="s">
        <v>329</v>
      </c>
      <c r="E177" s="13"/>
      <c r="F177" s="13"/>
      <c r="G177" s="17"/>
      <c r="H177" s="16"/>
    </row>
    <row r="178" spans="1:8" s="316" customFormat="1">
      <c r="A178" s="45" t="s">
        <v>417</v>
      </c>
      <c r="B178" s="315" t="s">
        <v>443</v>
      </c>
      <c r="C178" s="33" t="s">
        <v>331</v>
      </c>
      <c r="D178" s="34" t="s">
        <v>332</v>
      </c>
      <c r="E178" s="33" t="s">
        <v>19</v>
      </c>
      <c r="F178" s="52">
        <v>189.06</v>
      </c>
      <c r="G178" s="60"/>
      <c r="H178" s="60"/>
    </row>
    <row r="179" spans="1:8" ht="16.5">
      <c r="A179" s="30"/>
      <c r="B179" s="128"/>
      <c r="C179" s="7"/>
      <c r="D179" s="22" t="s">
        <v>418</v>
      </c>
      <c r="E179" s="7"/>
      <c r="F179" s="18"/>
      <c r="G179" s="62"/>
      <c r="H179" s="20"/>
    </row>
    <row r="180" spans="1:8">
      <c r="A180" s="30"/>
      <c r="B180" s="133"/>
      <c r="C180" s="12"/>
      <c r="D180" s="12"/>
      <c r="E180" s="12"/>
      <c r="F180" s="12"/>
      <c r="G180" s="12"/>
      <c r="H180" s="12"/>
    </row>
    <row r="181" spans="1:8" ht="15.75">
      <c r="A181" s="42"/>
      <c r="B181" s="129"/>
      <c r="C181" s="8"/>
      <c r="D181" s="35" t="s">
        <v>334</v>
      </c>
      <c r="E181" s="8"/>
      <c r="F181" s="108"/>
      <c r="G181" s="8"/>
      <c r="H181" s="49"/>
    </row>
    <row r="182" spans="1:8" ht="15.75">
      <c r="A182" s="42"/>
      <c r="B182" s="129"/>
      <c r="C182" s="8"/>
      <c r="D182" s="35" t="s">
        <v>18</v>
      </c>
      <c r="E182" s="8"/>
      <c r="F182" s="108"/>
      <c r="G182" s="74"/>
      <c r="H182" s="17"/>
    </row>
    <row r="183" spans="1:8" ht="15.75">
      <c r="A183" s="42"/>
      <c r="B183" s="129"/>
      <c r="C183" s="8"/>
      <c r="D183" s="35" t="s">
        <v>410</v>
      </c>
      <c r="E183" s="8"/>
      <c r="F183" s="108"/>
      <c r="G183" s="8"/>
      <c r="H183" s="49"/>
    </row>
    <row r="184" spans="1:8">
      <c r="A184" s="44"/>
      <c r="B184" s="134"/>
      <c r="C184" s="40"/>
      <c r="D184" s="40"/>
      <c r="E184" s="40"/>
      <c r="F184" s="109"/>
      <c r="G184" s="40"/>
      <c r="H184" s="54"/>
    </row>
    <row r="185" spans="1:8">
      <c r="A185" s="44"/>
      <c r="B185" s="134"/>
      <c r="C185" s="40"/>
      <c r="D185" s="40"/>
      <c r="E185" s="40"/>
      <c r="F185" s="109"/>
      <c r="G185" s="40"/>
      <c r="H185" s="54"/>
    </row>
    <row r="186" spans="1:8" ht="15" customHeight="1">
      <c r="A186" s="106"/>
      <c r="B186" s="135"/>
      <c r="C186" s="75"/>
      <c r="D186" s="40"/>
      <c r="E186" s="40"/>
      <c r="F186" s="109"/>
      <c r="G186" s="40"/>
      <c r="H186" s="91"/>
    </row>
    <row r="187" spans="1:8" ht="15" customHeight="1">
      <c r="A187" s="104" t="s">
        <v>62</v>
      </c>
      <c r="B187" s="136"/>
      <c r="C187" s="76"/>
      <c r="D187" s="8" t="s">
        <v>407</v>
      </c>
      <c r="E187" s="8"/>
      <c r="F187" s="108"/>
      <c r="G187" s="8"/>
      <c r="H187" s="92"/>
    </row>
    <row r="188" spans="1:8">
      <c r="A188" s="42">
        <v>1</v>
      </c>
      <c r="B188" s="132"/>
      <c r="C188" s="14"/>
      <c r="D188" s="8" t="s">
        <v>344</v>
      </c>
      <c r="E188" s="3"/>
      <c r="F188" s="110"/>
      <c r="G188" s="46"/>
      <c r="H188" s="51"/>
    </row>
    <row r="189" spans="1:8">
      <c r="A189" s="44"/>
      <c r="B189" s="137"/>
      <c r="C189" s="33"/>
      <c r="D189" s="58" t="s">
        <v>345</v>
      </c>
      <c r="E189" s="34"/>
      <c r="F189" s="103"/>
      <c r="G189" s="48"/>
      <c r="H189" s="78"/>
    </row>
    <row r="190" spans="1:8" ht="29.25" customHeight="1">
      <c r="A190" s="30" t="s">
        <v>9</v>
      </c>
      <c r="B190" s="127" t="s">
        <v>443</v>
      </c>
      <c r="C190" s="30" t="s">
        <v>346</v>
      </c>
      <c r="D190" s="29" t="s">
        <v>347</v>
      </c>
      <c r="E190" s="30" t="s">
        <v>19</v>
      </c>
      <c r="F190" s="118">
        <f>(1.7*2*2.8)+(5.4*2.8)+((1.85*2)+(2.4*2)+(2.4*2)+(4*2)+(3.47*2)+2.2+1.95+1.25)*2.4</f>
        <v>105.376</v>
      </c>
      <c r="G190" s="30"/>
      <c r="H190" s="53"/>
    </row>
    <row r="191" spans="1:8">
      <c r="A191" s="30"/>
      <c r="B191" s="138"/>
      <c r="C191" s="30"/>
      <c r="D191" s="34"/>
      <c r="E191" s="30"/>
      <c r="F191" s="18"/>
      <c r="G191" s="47"/>
      <c r="H191" s="47"/>
    </row>
    <row r="192" spans="1:8">
      <c r="A192" s="44"/>
      <c r="B192" s="138"/>
      <c r="C192" s="45"/>
      <c r="D192" s="8" t="s">
        <v>348</v>
      </c>
      <c r="E192" s="45"/>
      <c r="F192" s="52"/>
      <c r="G192" s="48"/>
      <c r="H192" s="48"/>
    </row>
    <row r="193" spans="1:8" ht="28.5">
      <c r="A193" s="30" t="s">
        <v>38</v>
      </c>
      <c r="B193" s="127" t="s">
        <v>443</v>
      </c>
      <c r="C193" s="30" t="s">
        <v>403</v>
      </c>
      <c r="D193" s="29" t="s">
        <v>697</v>
      </c>
      <c r="E193" s="45" t="s">
        <v>19</v>
      </c>
      <c r="F193" s="118">
        <f>(3.7+4.5+2.78+3.35)*2.4*2</f>
        <v>68.783999999999992</v>
      </c>
      <c r="G193" s="53"/>
      <c r="H193" s="53"/>
    </row>
    <row r="194" spans="1:8">
      <c r="A194" s="30"/>
      <c r="B194" s="138"/>
      <c r="C194" s="30"/>
      <c r="D194" s="59" t="s">
        <v>336</v>
      </c>
      <c r="E194" s="45"/>
      <c r="F194" s="52"/>
      <c r="G194" s="48"/>
      <c r="H194" s="54"/>
    </row>
    <row r="195" spans="1:8">
      <c r="A195" s="57">
        <v>2</v>
      </c>
      <c r="B195" s="139"/>
      <c r="C195" s="57"/>
      <c r="D195" s="8" t="s">
        <v>526</v>
      </c>
      <c r="E195" s="57"/>
      <c r="F195" s="111"/>
      <c r="G195" s="46"/>
      <c r="H195" s="46"/>
    </row>
    <row r="196" spans="1:8">
      <c r="A196" s="30" t="s">
        <v>10</v>
      </c>
      <c r="B196" s="127" t="s">
        <v>443</v>
      </c>
      <c r="C196" s="30" t="s">
        <v>349</v>
      </c>
      <c r="D196" s="34" t="s">
        <v>350</v>
      </c>
      <c r="E196" s="30" t="s">
        <v>19</v>
      </c>
      <c r="F196" s="18">
        <f>(9.72*1.55)+(1.25*1.25)+(1.2*2.2)</f>
        <v>19.268500000000003</v>
      </c>
      <c r="G196" s="47"/>
      <c r="H196" s="47"/>
    </row>
    <row r="197" spans="1:8">
      <c r="A197" s="30" t="s">
        <v>31</v>
      </c>
      <c r="B197" s="127" t="s">
        <v>443</v>
      </c>
      <c r="C197" s="30" t="s">
        <v>351</v>
      </c>
      <c r="D197" s="79" t="s">
        <v>352</v>
      </c>
      <c r="E197" s="30" t="s">
        <v>19</v>
      </c>
      <c r="F197" s="18">
        <f>9.72*1.55</f>
        <v>15.066000000000001</v>
      </c>
      <c r="G197" s="47"/>
      <c r="H197" s="47"/>
    </row>
    <row r="198" spans="1:8">
      <c r="A198" s="30" t="s">
        <v>32</v>
      </c>
      <c r="B198" s="127" t="s">
        <v>443</v>
      </c>
      <c r="C198" s="30" t="s">
        <v>353</v>
      </c>
      <c r="D198" s="34" t="s">
        <v>354</v>
      </c>
      <c r="E198" s="30" t="s">
        <v>19</v>
      </c>
      <c r="F198" s="18">
        <f>2.28*1.97*1.077</f>
        <v>4.8374531999999988</v>
      </c>
      <c r="G198" s="47"/>
      <c r="H198" s="47"/>
    </row>
    <row r="199" spans="1:8" ht="28.5">
      <c r="A199" s="30" t="s">
        <v>33</v>
      </c>
      <c r="B199" s="127" t="s">
        <v>443</v>
      </c>
      <c r="C199" s="30" t="s">
        <v>355</v>
      </c>
      <c r="D199" s="29" t="s">
        <v>356</v>
      </c>
      <c r="E199" s="30" t="s">
        <v>19</v>
      </c>
      <c r="F199" s="118">
        <f>1.95*0.6</f>
        <v>1.17</v>
      </c>
      <c r="G199" s="53"/>
      <c r="H199" s="53"/>
    </row>
    <row r="200" spans="1:8">
      <c r="A200" s="30" t="s">
        <v>34</v>
      </c>
      <c r="B200" s="127" t="s">
        <v>443</v>
      </c>
      <c r="C200" s="30" t="s">
        <v>387</v>
      </c>
      <c r="D200" s="34" t="s">
        <v>528</v>
      </c>
      <c r="E200" s="30" t="s">
        <v>19</v>
      </c>
      <c r="F200" s="113">
        <f>3.65*2.8*1.007</f>
        <v>10.291539999999998</v>
      </c>
      <c r="G200" s="53"/>
      <c r="H200" s="53"/>
    </row>
    <row r="201" spans="1:8">
      <c r="A201" s="30" t="s">
        <v>35</v>
      </c>
      <c r="B201" s="127" t="s">
        <v>443</v>
      </c>
      <c r="C201" s="45" t="s">
        <v>397</v>
      </c>
      <c r="D201" s="34" t="s">
        <v>398</v>
      </c>
      <c r="E201" s="45" t="s">
        <v>21</v>
      </c>
      <c r="F201" s="52">
        <f>3+3+1.2+1.2</f>
        <v>8.4</v>
      </c>
      <c r="G201" s="48"/>
      <c r="H201" s="48"/>
    </row>
    <row r="202" spans="1:8">
      <c r="A202" s="30" t="s">
        <v>82</v>
      </c>
      <c r="B202" s="127" t="s">
        <v>443</v>
      </c>
      <c r="C202" s="45" t="s">
        <v>399</v>
      </c>
      <c r="D202" s="34" t="s">
        <v>400</v>
      </c>
      <c r="E202" s="45" t="s">
        <v>21</v>
      </c>
      <c r="F202" s="52">
        <v>3</v>
      </c>
      <c r="G202" s="48"/>
      <c r="H202" s="48"/>
    </row>
    <row r="203" spans="1:8" ht="17.25" customHeight="1">
      <c r="A203" s="30" t="s">
        <v>83</v>
      </c>
      <c r="B203" s="127" t="s">
        <v>443</v>
      </c>
      <c r="C203" s="30" t="s">
        <v>403</v>
      </c>
      <c r="D203" s="29" t="s">
        <v>468</v>
      </c>
      <c r="E203" s="45" t="s">
        <v>19</v>
      </c>
      <c r="F203" s="117">
        <f>8*2.8</f>
        <v>22.4</v>
      </c>
      <c r="G203" s="56"/>
      <c r="H203" s="56"/>
    </row>
    <row r="204" spans="1:8" ht="28.5">
      <c r="A204" s="30" t="s">
        <v>84</v>
      </c>
      <c r="B204" s="127" t="s">
        <v>443</v>
      </c>
      <c r="C204" s="30" t="s">
        <v>357</v>
      </c>
      <c r="D204" s="29" t="s">
        <v>358</v>
      </c>
      <c r="E204" s="30" t="s">
        <v>19</v>
      </c>
      <c r="F204" s="18">
        <f>2.4*0.3*5</f>
        <v>3.5999999999999996</v>
      </c>
      <c r="G204" s="53"/>
      <c r="H204" s="53"/>
    </row>
    <row r="205" spans="1:8">
      <c r="A205" s="30"/>
      <c r="B205" s="138"/>
      <c r="C205" s="30"/>
      <c r="D205" s="59" t="s">
        <v>337</v>
      </c>
      <c r="E205" s="45"/>
      <c r="F205" s="197"/>
      <c r="G205" s="56"/>
      <c r="H205" s="102"/>
    </row>
    <row r="206" spans="1:8">
      <c r="A206" s="42">
        <v>3</v>
      </c>
      <c r="B206" s="140"/>
      <c r="C206" s="3"/>
      <c r="D206" s="11" t="s">
        <v>543</v>
      </c>
      <c r="E206" s="3"/>
      <c r="F206" s="110"/>
      <c r="G206" s="46"/>
      <c r="H206" s="49"/>
    </row>
    <row r="207" spans="1:8">
      <c r="A207" s="30" t="s">
        <v>11</v>
      </c>
      <c r="B207" s="127" t="s">
        <v>443</v>
      </c>
      <c r="C207" s="30" t="s">
        <v>459</v>
      </c>
      <c r="D207" s="29" t="s">
        <v>458</v>
      </c>
      <c r="E207" s="30" t="s">
        <v>19</v>
      </c>
      <c r="F207" s="18">
        <v>5.28</v>
      </c>
      <c r="G207" s="53"/>
      <c r="H207" s="53"/>
    </row>
    <row r="208" spans="1:8">
      <c r="A208" s="30" t="s">
        <v>72</v>
      </c>
      <c r="B208" s="127" t="s">
        <v>443</v>
      </c>
      <c r="C208" s="30" t="s">
        <v>359</v>
      </c>
      <c r="D208" s="29" t="s">
        <v>360</v>
      </c>
      <c r="E208" s="30" t="s">
        <v>19</v>
      </c>
      <c r="F208" s="18">
        <f>0.5*1.6*2</f>
        <v>1.6</v>
      </c>
      <c r="G208" s="53"/>
      <c r="H208" s="53"/>
    </row>
    <row r="209" spans="1:8">
      <c r="A209" s="30" t="s">
        <v>73</v>
      </c>
      <c r="B209" s="127" t="s">
        <v>443</v>
      </c>
      <c r="C209" s="30" t="s">
        <v>460</v>
      </c>
      <c r="D209" s="29" t="s">
        <v>461</v>
      </c>
      <c r="E209" s="30" t="s">
        <v>20</v>
      </c>
      <c r="F209" s="18">
        <v>1.6</v>
      </c>
      <c r="G209" s="53"/>
      <c r="H209" s="53"/>
    </row>
    <row r="210" spans="1:8">
      <c r="A210" s="30" t="s">
        <v>74</v>
      </c>
      <c r="B210" s="127" t="s">
        <v>443</v>
      </c>
      <c r="C210" s="30" t="s">
        <v>361</v>
      </c>
      <c r="D210" s="34" t="s">
        <v>362</v>
      </c>
      <c r="E210" s="30" t="s">
        <v>19</v>
      </c>
      <c r="F210" s="18">
        <v>5.28</v>
      </c>
      <c r="G210" s="47"/>
      <c r="H210" s="47"/>
    </row>
    <row r="211" spans="1:8">
      <c r="A211" s="30" t="s">
        <v>75</v>
      </c>
      <c r="B211" s="127" t="s">
        <v>443</v>
      </c>
      <c r="C211" s="30" t="s">
        <v>463</v>
      </c>
      <c r="D211" s="34" t="s">
        <v>462</v>
      </c>
      <c r="E211" s="30" t="s">
        <v>19</v>
      </c>
      <c r="F211" s="18">
        <f>(1.25*1.25)+(4*0.3)</f>
        <v>2.7625000000000002</v>
      </c>
      <c r="G211" s="47"/>
      <c r="H211" s="47"/>
    </row>
    <row r="212" spans="1:8">
      <c r="A212" s="30"/>
      <c r="B212" s="138"/>
      <c r="C212" s="30"/>
      <c r="D212" s="59" t="s">
        <v>338</v>
      </c>
      <c r="E212" s="33"/>
      <c r="F212" s="52"/>
      <c r="G212" s="48"/>
      <c r="H212" s="54"/>
    </row>
    <row r="213" spans="1:8">
      <c r="A213" s="42">
        <v>4</v>
      </c>
      <c r="B213" s="139"/>
      <c r="C213" s="57"/>
      <c r="D213" s="43" t="s">
        <v>527</v>
      </c>
      <c r="E213" s="14"/>
      <c r="F213" s="111"/>
      <c r="G213" s="46"/>
      <c r="H213" s="49"/>
    </row>
    <row r="214" spans="1:8">
      <c r="A214" s="30" t="s">
        <v>12</v>
      </c>
      <c r="B214" s="127" t="s">
        <v>443</v>
      </c>
      <c r="C214" s="30" t="s">
        <v>364</v>
      </c>
      <c r="D214" s="79" t="s">
        <v>365</v>
      </c>
      <c r="E214" s="33" t="s">
        <v>51</v>
      </c>
      <c r="F214" s="52">
        <v>202.59</v>
      </c>
      <c r="G214" s="48"/>
      <c r="H214" s="48"/>
    </row>
    <row r="215" spans="1:8">
      <c r="A215" s="30" t="s">
        <v>13</v>
      </c>
      <c r="B215" s="127" t="s">
        <v>443</v>
      </c>
      <c r="C215" s="30" t="s">
        <v>289</v>
      </c>
      <c r="D215" s="79" t="s">
        <v>464</v>
      </c>
      <c r="E215" s="33" t="s">
        <v>51</v>
      </c>
      <c r="F215" s="52">
        <f>+(2.35*0.15*0.003*7850*6)</f>
        <v>49.808250000000001</v>
      </c>
      <c r="G215" s="48"/>
      <c r="H215" s="48"/>
    </row>
    <row r="216" spans="1:8">
      <c r="A216" s="30" t="s">
        <v>14</v>
      </c>
      <c r="B216" s="127" t="s">
        <v>443</v>
      </c>
      <c r="C216" s="30" t="s">
        <v>366</v>
      </c>
      <c r="D216" s="79" t="s">
        <v>367</v>
      </c>
      <c r="E216" s="33" t="s">
        <v>51</v>
      </c>
      <c r="F216" s="52">
        <v>252.4</v>
      </c>
      <c r="G216" s="48"/>
      <c r="H216" s="48"/>
    </row>
    <row r="217" spans="1:8">
      <c r="A217" s="30" t="s">
        <v>110</v>
      </c>
      <c r="B217" s="127" t="s">
        <v>443</v>
      </c>
      <c r="C217" s="30" t="s">
        <v>368</v>
      </c>
      <c r="D217" s="79" t="s">
        <v>369</v>
      </c>
      <c r="E217" s="33" t="s">
        <v>19</v>
      </c>
      <c r="F217" s="52">
        <v>5.57</v>
      </c>
      <c r="G217" s="48"/>
      <c r="H217" s="48"/>
    </row>
    <row r="218" spans="1:8">
      <c r="A218" s="30" t="s">
        <v>111</v>
      </c>
      <c r="B218" s="127" t="s">
        <v>443</v>
      </c>
      <c r="C218" s="30" t="s">
        <v>370</v>
      </c>
      <c r="D218" s="79" t="s">
        <v>371</v>
      </c>
      <c r="E218" s="33" t="s">
        <v>21</v>
      </c>
      <c r="F218" s="52">
        <v>2.2799999999999998</v>
      </c>
      <c r="G218" s="48"/>
      <c r="H218" s="48"/>
    </row>
    <row r="219" spans="1:8">
      <c r="A219" s="30" t="s">
        <v>147</v>
      </c>
      <c r="B219" s="127" t="s">
        <v>443</v>
      </c>
      <c r="C219" s="30" t="s">
        <v>372</v>
      </c>
      <c r="D219" s="79" t="s">
        <v>373</v>
      </c>
      <c r="E219" s="33" t="s">
        <v>19</v>
      </c>
      <c r="F219" s="52">
        <v>7.79</v>
      </c>
      <c r="G219" s="48"/>
      <c r="H219" s="48"/>
    </row>
    <row r="220" spans="1:8" ht="28.5">
      <c r="A220" s="30" t="s">
        <v>148</v>
      </c>
      <c r="B220" s="127" t="s">
        <v>443</v>
      </c>
      <c r="C220" s="30" t="s">
        <v>374</v>
      </c>
      <c r="D220" s="29" t="s">
        <v>596</v>
      </c>
      <c r="E220" s="33" t="s">
        <v>19</v>
      </c>
      <c r="F220" s="52">
        <v>66.040000000000006</v>
      </c>
      <c r="G220" s="48"/>
      <c r="H220" s="48"/>
    </row>
    <row r="221" spans="1:8">
      <c r="A221" s="30"/>
      <c r="B221" s="138"/>
      <c r="C221" s="30"/>
      <c r="D221" s="59" t="s">
        <v>339</v>
      </c>
      <c r="E221" s="77"/>
      <c r="F221" s="112"/>
      <c r="G221" s="54"/>
      <c r="H221" s="54"/>
    </row>
    <row r="222" spans="1:8">
      <c r="A222" s="42">
        <v>5</v>
      </c>
      <c r="B222" s="139"/>
      <c r="C222" s="57"/>
      <c r="D222" s="26" t="s">
        <v>375</v>
      </c>
      <c r="E222" s="57"/>
      <c r="F222" s="111"/>
      <c r="G222" s="46"/>
      <c r="H222" s="46"/>
    </row>
    <row r="223" spans="1:8" ht="28.5">
      <c r="A223" s="30" t="s">
        <v>15</v>
      </c>
      <c r="B223" s="127" t="s">
        <v>443</v>
      </c>
      <c r="C223" s="30" t="s">
        <v>376</v>
      </c>
      <c r="D223" s="27" t="s">
        <v>377</v>
      </c>
      <c r="E223" s="30" t="s">
        <v>77</v>
      </c>
      <c r="F223" s="18">
        <v>30</v>
      </c>
      <c r="G223" s="53"/>
      <c r="H223" s="80"/>
    </row>
    <row r="224" spans="1:8" ht="29.25">
      <c r="A224" s="30" t="s">
        <v>16</v>
      </c>
      <c r="B224" s="127" t="s">
        <v>443</v>
      </c>
      <c r="C224" s="30" t="s">
        <v>378</v>
      </c>
      <c r="D224" s="21" t="s">
        <v>379</v>
      </c>
      <c r="E224" s="30" t="s">
        <v>77</v>
      </c>
      <c r="F224" s="113">
        <v>4</v>
      </c>
      <c r="G224" s="53"/>
      <c r="H224" s="80"/>
    </row>
    <row r="225" spans="1:8" ht="29.25">
      <c r="A225" s="30" t="s">
        <v>17</v>
      </c>
      <c r="B225" s="127" t="s">
        <v>443</v>
      </c>
      <c r="C225" s="30" t="s">
        <v>729</v>
      </c>
      <c r="D225" s="21" t="s">
        <v>728</v>
      </c>
      <c r="E225" s="30" t="s">
        <v>77</v>
      </c>
      <c r="F225" s="121">
        <v>8</v>
      </c>
      <c r="G225" s="53"/>
      <c r="H225" s="80"/>
    </row>
    <row r="226" spans="1:8" ht="15.75" customHeight="1">
      <c r="A226" s="30" t="s">
        <v>40</v>
      </c>
      <c r="B226" s="127" t="s">
        <v>443</v>
      </c>
      <c r="C226" s="30" t="s">
        <v>380</v>
      </c>
      <c r="D226" s="21" t="s">
        <v>381</v>
      </c>
      <c r="E226" s="30" t="s">
        <v>77</v>
      </c>
      <c r="F226" s="170">
        <v>15</v>
      </c>
      <c r="G226" s="53"/>
      <c r="H226" s="53"/>
    </row>
    <row r="227" spans="1:8" ht="29.25">
      <c r="A227" s="30" t="s">
        <v>41</v>
      </c>
      <c r="B227" s="127" t="s">
        <v>443</v>
      </c>
      <c r="C227" s="30" t="s">
        <v>382</v>
      </c>
      <c r="D227" s="21" t="s">
        <v>383</v>
      </c>
      <c r="E227" s="30" t="s">
        <v>77</v>
      </c>
      <c r="F227" s="113">
        <v>5</v>
      </c>
      <c r="G227" s="53"/>
      <c r="H227" s="53"/>
    </row>
    <row r="228" spans="1:8" ht="15" customHeight="1">
      <c r="A228" s="30" t="s">
        <v>52</v>
      </c>
      <c r="B228" s="127" t="s">
        <v>443</v>
      </c>
      <c r="C228" s="30" t="s">
        <v>81</v>
      </c>
      <c r="D228" s="21" t="s">
        <v>384</v>
      </c>
      <c r="E228" s="30" t="s">
        <v>21</v>
      </c>
      <c r="F228" s="113">
        <f>(5.72+6.15+2.6+5.1+1+5.41+3.5+6.28+3.44+5.5)+(2*7)+(2.2*23)</f>
        <v>109.3</v>
      </c>
      <c r="G228" s="53"/>
      <c r="H228" s="53"/>
    </row>
    <row r="229" spans="1:8" ht="30" customHeight="1">
      <c r="A229" s="30" t="s">
        <v>53</v>
      </c>
      <c r="B229" s="127" t="s">
        <v>443</v>
      </c>
      <c r="C229" s="30" t="s">
        <v>429</v>
      </c>
      <c r="D229" s="21" t="s">
        <v>428</v>
      </c>
      <c r="E229" s="30" t="s">
        <v>21</v>
      </c>
      <c r="F229" s="121">
        <f>(5.72+6.15+2.6+5.1+1+5.41+3.5+6.28+3.44+5.5)+(2*7)+(2.2*23)</f>
        <v>109.3</v>
      </c>
      <c r="G229" s="53"/>
      <c r="H229" s="53"/>
    </row>
    <row r="230" spans="1:8">
      <c r="A230" s="30" t="s">
        <v>54</v>
      </c>
      <c r="B230" s="127" t="s">
        <v>443</v>
      </c>
      <c r="C230" s="30" t="s">
        <v>60</v>
      </c>
      <c r="D230" s="124" t="s">
        <v>59</v>
      </c>
      <c r="E230" s="30" t="s">
        <v>21</v>
      </c>
      <c r="F230" s="113">
        <f>((5.72+6.15+2.6+5.1+1+5.41+3.5+6.28+3.44+5.5)+(2*7)+(2.2*23))*3</f>
        <v>327.9</v>
      </c>
      <c r="G230" s="53"/>
      <c r="H230" s="53"/>
    </row>
    <row r="231" spans="1:8" ht="16.5" customHeight="1">
      <c r="A231" s="30" t="s">
        <v>55</v>
      </c>
      <c r="B231" s="127" t="s">
        <v>443</v>
      </c>
      <c r="C231" s="122" t="s">
        <v>734</v>
      </c>
      <c r="D231" s="27" t="s">
        <v>735</v>
      </c>
      <c r="E231" s="123" t="s">
        <v>21</v>
      </c>
      <c r="F231" s="113">
        <f>9.26+9.05+4.06</f>
        <v>22.37</v>
      </c>
      <c r="G231" s="53"/>
      <c r="H231" s="53"/>
    </row>
    <row r="232" spans="1:8">
      <c r="A232" s="30" t="s">
        <v>56</v>
      </c>
      <c r="B232" s="127" t="s">
        <v>443</v>
      </c>
      <c r="C232" s="30" t="s">
        <v>737</v>
      </c>
      <c r="D232" s="1" t="s">
        <v>736</v>
      </c>
      <c r="E232" s="30" t="s">
        <v>77</v>
      </c>
      <c r="F232" s="113">
        <f>30+23+7+5+1</f>
        <v>66</v>
      </c>
      <c r="G232" s="81"/>
      <c r="H232" s="53"/>
    </row>
    <row r="233" spans="1:8">
      <c r="A233" s="30" t="s">
        <v>587</v>
      </c>
      <c r="B233" s="127" t="s">
        <v>443</v>
      </c>
      <c r="C233" s="28" t="s">
        <v>744</v>
      </c>
      <c r="D233" s="21" t="s">
        <v>386</v>
      </c>
      <c r="E233" s="7" t="s">
        <v>47</v>
      </c>
      <c r="F233" s="18">
        <v>23</v>
      </c>
      <c r="G233" s="47"/>
      <c r="H233" s="53"/>
    </row>
    <row r="234" spans="1:8">
      <c r="A234" s="30" t="s">
        <v>588</v>
      </c>
      <c r="B234" s="127" t="s">
        <v>443</v>
      </c>
      <c r="C234" s="30" t="s">
        <v>247</v>
      </c>
      <c r="D234" s="21" t="s">
        <v>248</v>
      </c>
      <c r="E234" s="7" t="s">
        <v>47</v>
      </c>
      <c r="F234" s="18">
        <v>7</v>
      </c>
      <c r="G234" s="47"/>
      <c r="H234" s="53"/>
    </row>
    <row r="235" spans="1:8">
      <c r="A235" s="30" t="s">
        <v>589</v>
      </c>
      <c r="B235" s="127" t="s">
        <v>443</v>
      </c>
      <c r="C235" s="30" t="s">
        <v>741</v>
      </c>
      <c r="D235" s="21" t="s">
        <v>740</v>
      </c>
      <c r="E235" s="7" t="s">
        <v>47</v>
      </c>
      <c r="F235" s="18">
        <v>5</v>
      </c>
      <c r="G235" s="47"/>
      <c r="H235" s="53"/>
    </row>
    <row r="236" spans="1:8">
      <c r="A236" s="30" t="s">
        <v>730</v>
      </c>
      <c r="B236" s="127" t="s">
        <v>443</v>
      </c>
      <c r="C236" s="28" t="s">
        <v>738</v>
      </c>
      <c r="D236" s="1" t="s">
        <v>739</v>
      </c>
      <c r="E236" s="7" t="s">
        <v>47</v>
      </c>
      <c r="F236" s="18">
        <v>1</v>
      </c>
      <c r="G236" s="47"/>
      <c r="H236" s="53"/>
    </row>
    <row r="237" spans="1:8">
      <c r="A237" s="30" t="s">
        <v>742</v>
      </c>
      <c r="B237" s="127" t="s">
        <v>443</v>
      </c>
      <c r="C237" s="30" t="s">
        <v>427</v>
      </c>
      <c r="D237" s="21" t="s">
        <v>426</v>
      </c>
      <c r="E237" s="7" t="s">
        <v>21</v>
      </c>
      <c r="F237" s="18">
        <f>18.31+4.06</f>
        <v>22.369999999999997</v>
      </c>
      <c r="G237" s="47"/>
      <c r="H237" s="53"/>
    </row>
    <row r="238" spans="1:8" ht="15" customHeight="1">
      <c r="A238" s="30" t="s">
        <v>743</v>
      </c>
      <c r="B238" s="127" t="s">
        <v>443</v>
      </c>
      <c r="C238" s="30" t="s">
        <v>425</v>
      </c>
      <c r="D238" s="21" t="s">
        <v>424</v>
      </c>
      <c r="E238" s="7" t="s">
        <v>77</v>
      </c>
      <c r="F238" s="18">
        <v>3</v>
      </c>
      <c r="G238" s="47"/>
      <c r="H238" s="53"/>
    </row>
    <row r="239" spans="1:8">
      <c r="A239" s="31"/>
      <c r="B239" s="138"/>
      <c r="C239" s="30"/>
      <c r="D239" s="59" t="s">
        <v>340</v>
      </c>
      <c r="E239" s="45"/>
      <c r="F239" s="114"/>
      <c r="G239" s="56"/>
      <c r="H239" s="102"/>
    </row>
    <row r="240" spans="1:8">
      <c r="A240" s="42">
        <v>6</v>
      </c>
      <c r="B240" s="139"/>
      <c r="C240" s="83"/>
      <c r="D240" s="84" t="s">
        <v>389</v>
      </c>
      <c r="E240" s="57"/>
      <c r="F240" s="115"/>
      <c r="G240" s="82"/>
      <c r="H240" s="82"/>
    </row>
    <row r="241" spans="1:9" ht="28.5">
      <c r="A241" s="30" t="s">
        <v>168</v>
      </c>
      <c r="B241" s="127" t="s">
        <v>443</v>
      </c>
      <c r="C241" s="30" t="s">
        <v>390</v>
      </c>
      <c r="D241" s="85" t="s">
        <v>896</v>
      </c>
      <c r="E241" s="30" t="s">
        <v>19</v>
      </c>
      <c r="F241" s="113">
        <f>0.6*0.8*13</f>
        <v>6.24</v>
      </c>
      <c r="G241" s="53"/>
      <c r="H241" s="53"/>
    </row>
    <row r="242" spans="1:9" ht="43.5">
      <c r="A242" s="30" t="s">
        <v>169</v>
      </c>
      <c r="B242" s="138" t="s">
        <v>391</v>
      </c>
      <c r="C242" s="30"/>
      <c r="D242" s="195" t="s">
        <v>597</v>
      </c>
      <c r="E242" s="30" t="s">
        <v>77</v>
      </c>
      <c r="F242" s="121">
        <v>4</v>
      </c>
      <c r="G242" s="53"/>
      <c r="H242" s="53"/>
    </row>
    <row r="243" spans="1:9">
      <c r="A243" s="30"/>
      <c r="B243" s="138"/>
      <c r="C243" s="30"/>
      <c r="D243" s="59" t="s">
        <v>341</v>
      </c>
      <c r="E243" s="45"/>
      <c r="F243" s="114"/>
      <c r="G243" s="56"/>
      <c r="H243" s="102"/>
    </row>
    <row r="244" spans="1:9">
      <c r="A244" s="42">
        <v>7</v>
      </c>
      <c r="B244" s="140"/>
      <c r="C244" s="3"/>
      <c r="D244" s="8" t="s">
        <v>197</v>
      </c>
      <c r="E244" s="57"/>
      <c r="F244" s="110"/>
      <c r="G244" s="46"/>
      <c r="H244" s="46"/>
    </row>
    <row r="245" spans="1:9">
      <c r="A245" s="45" t="s">
        <v>57</v>
      </c>
      <c r="B245" s="127" t="s">
        <v>443</v>
      </c>
      <c r="C245" s="45" t="s">
        <v>392</v>
      </c>
      <c r="D245" s="34" t="s">
        <v>393</v>
      </c>
      <c r="E245" s="45" t="s">
        <v>19</v>
      </c>
      <c r="F245" s="52">
        <v>3.6</v>
      </c>
      <c r="G245" s="48"/>
      <c r="H245" s="48"/>
    </row>
    <row r="246" spans="1:9">
      <c r="A246" s="45" t="s">
        <v>58</v>
      </c>
      <c r="B246" s="127" t="s">
        <v>443</v>
      </c>
      <c r="C246" s="45" t="s">
        <v>757</v>
      </c>
      <c r="D246" s="34" t="s">
        <v>758</v>
      </c>
      <c r="E246" s="45" t="s">
        <v>19</v>
      </c>
      <c r="F246" s="52">
        <f>210.76+68.78+66.04+22.4</f>
        <v>367.97999999999996</v>
      </c>
      <c r="G246" s="48"/>
      <c r="H246" s="48"/>
    </row>
    <row r="247" spans="1:9">
      <c r="A247" s="45" t="s">
        <v>529</v>
      </c>
      <c r="B247" s="127" t="s">
        <v>443</v>
      </c>
      <c r="C247" s="45" t="s">
        <v>759</v>
      </c>
      <c r="D247" s="34" t="s">
        <v>761</v>
      </c>
      <c r="E247" s="45" t="s">
        <v>19</v>
      </c>
      <c r="F247" s="52">
        <f>210.76+68.78+66.04+22.4</f>
        <v>367.97999999999996</v>
      </c>
      <c r="G247" s="48"/>
      <c r="H247" s="48"/>
    </row>
    <row r="248" spans="1:9">
      <c r="A248" s="45" t="s">
        <v>530</v>
      </c>
      <c r="B248" s="127" t="s">
        <v>443</v>
      </c>
      <c r="C248" s="45" t="s">
        <v>50</v>
      </c>
      <c r="D248" s="34" t="s">
        <v>49</v>
      </c>
      <c r="E248" s="45" t="s">
        <v>19</v>
      </c>
      <c r="F248" s="33">
        <v>5.57</v>
      </c>
      <c r="G248" s="48"/>
      <c r="H248" s="48"/>
    </row>
    <row r="249" spans="1:9">
      <c r="A249" s="45" t="s">
        <v>531</v>
      </c>
      <c r="B249" s="127" t="s">
        <v>443</v>
      </c>
      <c r="C249" s="45" t="s">
        <v>211</v>
      </c>
      <c r="D249" s="34" t="s">
        <v>394</v>
      </c>
      <c r="E249" s="45" t="s">
        <v>19</v>
      </c>
      <c r="F249" s="52">
        <f>7.79+4.84</f>
        <v>12.629999999999999</v>
      </c>
      <c r="G249" s="48"/>
      <c r="H249" s="48"/>
    </row>
    <row r="250" spans="1:9" ht="42.75">
      <c r="A250" s="45" t="s">
        <v>532</v>
      </c>
      <c r="B250" s="127" t="s">
        <v>443</v>
      </c>
      <c r="C250" s="45" t="s">
        <v>395</v>
      </c>
      <c r="D250" s="55" t="s">
        <v>396</v>
      </c>
      <c r="E250" s="45" t="s">
        <v>19</v>
      </c>
      <c r="F250" s="45">
        <v>66.040000000000006</v>
      </c>
      <c r="G250" s="56"/>
      <c r="H250" s="56"/>
    </row>
    <row r="251" spans="1:9">
      <c r="A251" s="45" t="s">
        <v>698</v>
      </c>
      <c r="B251" s="127" t="s">
        <v>443</v>
      </c>
      <c r="C251" s="45" t="s">
        <v>401</v>
      </c>
      <c r="D251" s="34" t="s">
        <v>402</v>
      </c>
      <c r="E251" s="45" t="s">
        <v>19</v>
      </c>
      <c r="F251" s="52">
        <v>38.840299999999999</v>
      </c>
      <c r="G251" s="48"/>
      <c r="H251" s="48"/>
    </row>
    <row r="252" spans="1:9">
      <c r="A252" s="45"/>
      <c r="B252" s="141"/>
      <c r="C252" s="34"/>
      <c r="D252" s="59" t="s">
        <v>342</v>
      </c>
      <c r="E252" s="45"/>
      <c r="F252" s="103"/>
      <c r="G252" s="48"/>
      <c r="H252" s="54"/>
    </row>
    <row r="253" spans="1:9">
      <c r="A253" s="42">
        <v>8</v>
      </c>
      <c r="B253" s="142"/>
      <c r="C253" s="97"/>
      <c r="D253" s="8" t="s">
        <v>411</v>
      </c>
      <c r="E253" s="57"/>
      <c r="F253" s="110"/>
      <c r="G253" s="46"/>
      <c r="H253" s="46"/>
    </row>
    <row r="254" spans="1:9" ht="15.75">
      <c r="A254" s="30" t="s">
        <v>97</v>
      </c>
      <c r="B254" s="127" t="s">
        <v>309</v>
      </c>
      <c r="C254" s="94" t="s">
        <v>542</v>
      </c>
      <c r="D254" s="71" t="s">
        <v>541</v>
      </c>
      <c r="E254" s="7" t="s">
        <v>39</v>
      </c>
      <c r="F254" s="116">
        <v>1</v>
      </c>
      <c r="G254" s="73"/>
      <c r="H254" s="73"/>
      <c r="I254" s="294"/>
    </row>
    <row r="255" spans="1:9" ht="15.75">
      <c r="A255" s="30" t="s">
        <v>98</v>
      </c>
      <c r="B255" s="127" t="s">
        <v>309</v>
      </c>
      <c r="C255" s="94" t="s">
        <v>310</v>
      </c>
      <c r="D255" s="71" t="s">
        <v>311</v>
      </c>
      <c r="E255" s="7" t="s">
        <v>39</v>
      </c>
      <c r="F255" s="116">
        <v>1</v>
      </c>
      <c r="G255" s="73"/>
      <c r="H255" s="73"/>
      <c r="I255" s="294"/>
    </row>
    <row r="256" spans="1:9" ht="28.5">
      <c r="A256" s="30" t="s">
        <v>99</v>
      </c>
      <c r="B256" s="127" t="s">
        <v>443</v>
      </c>
      <c r="C256" s="94" t="s">
        <v>442</v>
      </c>
      <c r="D256" s="71" t="s">
        <v>446</v>
      </c>
      <c r="E256" s="7" t="s">
        <v>39</v>
      </c>
      <c r="F256" s="116">
        <v>1</v>
      </c>
      <c r="G256" s="73"/>
      <c r="H256" s="73"/>
      <c r="I256" s="294"/>
    </row>
    <row r="257" spans="1:9" ht="15.75">
      <c r="A257" s="30" t="s">
        <v>100</v>
      </c>
      <c r="B257" s="127" t="s">
        <v>443</v>
      </c>
      <c r="C257" s="94" t="s">
        <v>445</v>
      </c>
      <c r="D257" s="71" t="s">
        <v>444</v>
      </c>
      <c r="E257" s="7" t="s">
        <v>39</v>
      </c>
      <c r="F257" s="116">
        <v>3</v>
      </c>
      <c r="G257" s="73"/>
      <c r="H257" s="73"/>
      <c r="I257" s="294"/>
    </row>
    <row r="258" spans="1:9" ht="28.5">
      <c r="A258" s="30" t="s">
        <v>101</v>
      </c>
      <c r="B258" s="127" t="s">
        <v>443</v>
      </c>
      <c r="C258" s="94" t="s">
        <v>312</v>
      </c>
      <c r="D258" s="71" t="s">
        <v>313</v>
      </c>
      <c r="E258" s="7" t="s">
        <v>39</v>
      </c>
      <c r="F258" s="116">
        <v>1</v>
      </c>
      <c r="G258" s="73"/>
      <c r="H258" s="73"/>
      <c r="I258" s="294"/>
    </row>
    <row r="259" spans="1:9" ht="15.75">
      <c r="A259" s="30" t="s">
        <v>104</v>
      </c>
      <c r="B259" s="127" t="s">
        <v>443</v>
      </c>
      <c r="C259" s="94" t="s">
        <v>314</v>
      </c>
      <c r="D259" s="71" t="s">
        <v>315</v>
      </c>
      <c r="E259" s="7" t="s">
        <v>39</v>
      </c>
      <c r="F259" s="116">
        <v>16</v>
      </c>
      <c r="G259" s="73"/>
      <c r="H259" s="73"/>
      <c r="I259" s="294"/>
    </row>
    <row r="260" spans="1:9" ht="15.75">
      <c r="A260" s="30" t="s">
        <v>187</v>
      </c>
      <c r="B260" s="127" t="s">
        <v>443</v>
      </c>
      <c r="C260" s="94" t="s">
        <v>316</v>
      </c>
      <c r="D260" s="71" t="s">
        <v>317</v>
      </c>
      <c r="E260" s="7" t="s">
        <v>39</v>
      </c>
      <c r="F260" s="116">
        <v>5</v>
      </c>
      <c r="G260" s="73"/>
      <c r="H260" s="73"/>
      <c r="I260" s="294"/>
    </row>
    <row r="261" spans="1:9" ht="15.75">
      <c r="A261" s="30" t="s">
        <v>189</v>
      </c>
      <c r="B261" s="127" t="s">
        <v>443</v>
      </c>
      <c r="C261" s="94" t="s">
        <v>318</v>
      </c>
      <c r="D261" s="71" t="s">
        <v>319</v>
      </c>
      <c r="E261" s="72" t="s">
        <v>21</v>
      </c>
      <c r="F261" s="116">
        <v>115</v>
      </c>
      <c r="G261" s="73"/>
      <c r="H261" s="73"/>
      <c r="I261" s="294"/>
    </row>
    <row r="262" spans="1:9" ht="15.75">
      <c r="A262" s="30" t="s">
        <v>190</v>
      </c>
      <c r="B262" s="127" t="s">
        <v>443</v>
      </c>
      <c r="C262" s="94" t="s">
        <v>320</v>
      </c>
      <c r="D262" s="71" t="s">
        <v>321</v>
      </c>
      <c r="E262" s="72" t="s">
        <v>21</v>
      </c>
      <c r="F262" s="116">
        <v>4</v>
      </c>
      <c r="G262" s="73"/>
      <c r="H262" s="73"/>
      <c r="I262" s="294"/>
    </row>
    <row r="263" spans="1:9" ht="15.75">
      <c r="A263" s="30" t="s">
        <v>191</v>
      </c>
      <c r="B263" s="127" t="s">
        <v>443</v>
      </c>
      <c r="C263" s="94" t="s">
        <v>322</v>
      </c>
      <c r="D263" s="71" t="s">
        <v>323</v>
      </c>
      <c r="E263" s="7" t="s">
        <v>39</v>
      </c>
      <c r="F263" s="116">
        <v>1</v>
      </c>
      <c r="G263" s="73"/>
      <c r="H263" s="73"/>
      <c r="I263" s="294"/>
    </row>
    <row r="264" spans="1:9" ht="15.75">
      <c r="A264" s="30" t="s">
        <v>414</v>
      </c>
      <c r="B264" s="127" t="s">
        <v>309</v>
      </c>
      <c r="C264" s="94" t="s">
        <v>324</v>
      </c>
      <c r="D264" s="71" t="s">
        <v>325</v>
      </c>
      <c r="E264" s="72" t="s">
        <v>39</v>
      </c>
      <c r="F264" s="116">
        <v>1</v>
      </c>
      <c r="G264" s="73"/>
      <c r="H264" s="73"/>
      <c r="I264" s="294"/>
    </row>
    <row r="265" spans="1:9" ht="15.75">
      <c r="A265" s="30" t="s">
        <v>533</v>
      </c>
      <c r="B265" s="127" t="s">
        <v>443</v>
      </c>
      <c r="C265" s="94" t="s">
        <v>326</v>
      </c>
      <c r="D265" s="71" t="s">
        <v>327</v>
      </c>
      <c r="E265" s="72" t="s">
        <v>21</v>
      </c>
      <c r="F265" s="116">
        <v>91.97</v>
      </c>
      <c r="G265" s="73"/>
      <c r="H265" s="73"/>
      <c r="I265" s="294"/>
    </row>
    <row r="266" spans="1:9" ht="31.5" customHeight="1">
      <c r="A266" s="30" t="s">
        <v>534</v>
      </c>
      <c r="B266" s="127" t="s">
        <v>309</v>
      </c>
      <c r="C266" s="94" t="s">
        <v>559</v>
      </c>
      <c r="D266" s="71" t="s">
        <v>558</v>
      </c>
      <c r="E266" s="94" t="s">
        <v>39</v>
      </c>
      <c r="F266" s="116">
        <v>1</v>
      </c>
      <c r="G266" s="96"/>
      <c r="H266" s="96"/>
      <c r="I266" s="294"/>
    </row>
    <row r="267" spans="1:9" ht="28.5">
      <c r="A267" s="30" t="s">
        <v>535</v>
      </c>
      <c r="B267" s="127" t="s">
        <v>443</v>
      </c>
      <c r="C267" s="30" t="s">
        <v>404</v>
      </c>
      <c r="D267" s="67" t="s">
        <v>405</v>
      </c>
      <c r="E267" s="30" t="s">
        <v>21</v>
      </c>
      <c r="F267" s="18">
        <v>60.05</v>
      </c>
      <c r="G267" s="95"/>
      <c r="H267" s="95"/>
      <c r="I267" s="294"/>
    </row>
    <row r="268" spans="1:9" ht="28.5">
      <c r="A268" s="30" t="s">
        <v>536</v>
      </c>
      <c r="B268" s="127" t="s">
        <v>443</v>
      </c>
      <c r="C268" s="30" t="s">
        <v>44</v>
      </c>
      <c r="D268" s="67" t="s">
        <v>406</v>
      </c>
      <c r="E268" s="30" t="s">
        <v>21</v>
      </c>
      <c r="F268" s="18">
        <v>115</v>
      </c>
      <c r="G268" s="95"/>
      <c r="H268" s="95"/>
      <c r="I268" s="294"/>
    </row>
    <row r="269" spans="1:9">
      <c r="A269" s="30" t="s">
        <v>537</v>
      </c>
      <c r="B269" s="127" t="s">
        <v>443</v>
      </c>
      <c r="C269" s="7" t="s">
        <v>60</v>
      </c>
      <c r="D269" s="69" t="s">
        <v>59</v>
      </c>
      <c r="E269" s="7" t="s">
        <v>21</v>
      </c>
      <c r="F269" s="18">
        <v>347.80700000000002</v>
      </c>
      <c r="G269" s="15"/>
      <c r="H269" s="15"/>
      <c r="I269" s="294"/>
    </row>
    <row r="270" spans="1:9">
      <c r="A270" s="30" t="s">
        <v>538</v>
      </c>
      <c r="B270" s="127" t="s">
        <v>443</v>
      </c>
      <c r="C270" s="7" t="s">
        <v>561</v>
      </c>
      <c r="D270" s="69" t="s">
        <v>560</v>
      </c>
      <c r="E270" s="7" t="s">
        <v>39</v>
      </c>
      <c r="F270" s="18">
        <v>2</v>
      </c>
      <c r="G270" s="15"/>
      <c r="H270" s="15"/>
      <c r="I270" s="294"/>
    </row>
    <row r="271" spans="1:9">
      <c r="A271" s="30" t="s">
        <v>539</v>
      </c>
      <c r="B271" s="127" t="s">
        <v>443</v>
      </c>
      <c r="C271" s="7" t="s">
        <v>565</v>
      </c>
      <c r="D271" s="69" t="s">
        <v>564</v>
      </c>
      <c r="E271" s="7" t="s">
        <v>19</v>
      </c>
      <c r="F271" s="18">
        <v>6</v>
      </c>
      <c r="G271" s="15"/>
      <c r="H271" s="15"/>
      <c r="I271" s="294"/>
    </row>
    <row r="272" spans="1:9">
      <c r="A272" s="30" t="s">
        <v>562</v>
      </c>
      <c r="B272" s="127" t="s">
        <v>443</v>
      </c>
      <c r="C272" s="7" t="s">
        <v>569</v>
      </c>
      <c r="D272" s="69" t="s">
        <v>566</v>
      </c>
      <c r="E272" s="7" t="s">
        <v>39</v>
      </c>
      <c r="F272" s="18">
        <v>2</v>
      </c>
      <c r="G272" s="15"/>
      <c r="H272" s="15"/>
      <c r="I272" s="294"/>
    </row>
    <row r="273" spans="1:9">
      <c r="A273" s="30" t="s">
        <v>563</v>
      </c>
      <c r="B273" s="127" t="s">
        <v>443</v>
      </c>
      <c r="C273" s="7" t="s">
        <v>568</v>
      </c>
      <c r="D273" s="69" t="s">
        <v>567</v>
      </c>
      <c r="E273" s="7" t="s">
        <v>39</v>
      </c>
      <c r="F273" s="18">
        <v>2</v>
      </c>
      <c r="G273" s="15"/>
      <c r="H273" s="15"/>
      <c r="I273" s="294"/>
    </row>
    <row r="274" spans="1:9" ht="28.5" customHeight="1">
      <c r="A274" s="7" t="s">
        <v>570</v>
      </c>
      <c r="B274" s="143" t="s">
        <v>443</v>
      </c>
      <c r="C274" s="7" t="s">
        <v>572</v>
      </c>
      <c r="D274" s="69" t="s">
        <v>571</v>
      </c>
      <c r="E274" s="7" t="s">
        <v>47</v>
      </c>
      <c r="F274" s="18">
        <v>1</v>
      </c>
      <c r="G274" s="15"/>
      <c r="H274" s="15"/>
      <c r="I274" s="294"/>
    </row>
    <row r="275" spans="1:9" ht="28.5" customHeight="1">
      <c r="A275" s="7" t="s">
        <v>617</v>
      </c>
      <c r="B275" s="143" t="s">
        <v>443</v>
      </c>
      <c r="C275" s="7" t="s">
        <v>616</v>
      </c>
      <c r="D275" s="69" t="s">
        <v>615</v>
      </c>
      <c r="E275" s="7" t="s">
        <v>20</v>
      </c>
      <c r="F275" s="18">
        <f>110.5*0.4*0.8</f>
        <v>35.360000000000007</v>
      </c>
      <c r="G275" s="15"/>
      <c r="H275" s="15"/>
      <c r="I275" s="294"/>
    </row>
    <row r="276" spans="1:9" ht="28.5" customHeight="1">
      <c r="A276" s="7" t="s">
        <v>618</v>
      </c>
      <c r="B276" s="143" t="s">
        <v>443</v>
      </c>
      <c r="C276" s="7" t="s">
        <v>86</v>
      </c>
      <c r="D276" s="69" t="s">
        <v>85</v>
      </c>
      <c r="E276" s="7" t="s">
        <v>20</v>
      </c>
      <c r="F276" s="18">
        <v>35.36</v>
      </c>
      <c r="G276" s="15"/>
      <c r="H276" s="15"/>
      <c r="I276" s="294"/>
    </row>
    <row r="277" spans="1:9" ht="28.5" customHeight="1">
      <c r="A277" s="7"/>
      <c r="B277" s="143"/>
      <c r="C277" s="7"/>
      <c r="D277" s="314" t="s">
        <v>840</v>
      </c>
      <c r="E277" s="7"/>
      <c r="F277" s="18"/>
      <c r="G277" s="15"/>
      <c r="H277" s="20"/>
      <c r="I277" s="294"/>
    </row>
    <row r="278" spans="1:9">
      <c r="A278" s="45"/>
      <c r="B278" s="34"/>
      <c r="C278" s="34"/>
      <c r="D278" s="59" t="s">
        <v>343</v>
      </c>
      <c r="E278" s="45"/>
      <c r="F278" s="103"/>
      <c r="G278" s="48"/>
      <c r="H278" s="54"/>
    </row>
    <row r="279" spans="1:9">
      <c r="A279" s="45"/>
      <c r="B279" s="143"/>
      <c r="C279" s="34"/>
      <c r="D279" s="79"/>
      <c r="E279" s="45"/>
      <c r="F279" s="117"/>
      <c r="G279" s="48"/>
      <c r="H279" s="48"/>
    </row>
    <row r="280" spans="1:9" ht="15.75">
      <c r="A280" s="107"/>
      <c r="B280" s="36"/>
      <c r="C280" s="36"/>
      <c r="D280" s="35" t="s">
        <v>409</v>
      </c>
      <c r="E280" s="3"/>
      <c r="F280" s="110"/>
      <c r="G280" s="46"/>
      <c r="H280" s="93"/>
    </row>
    <row r="281" spans="1:9" ht="15.75">
      <c r="A281" s="107"/>
      <c r="B281" s="36"/>
      <c r="C281" s="36"/>
      <c r="D281" s="35" t="s">
        <v>18</v>
      </c>
      <c r="E281" s="196">
        <v>0.27050000000000002</v>
      </c>
      <c r="F281" s="372" t="s">
        <v>604</v>
      </c>
      <c r="G281" s="373"/>
      <c r="H281" s="93"/>
    </row>
    <row r="282" spans="1:9" ht="15.75">
      <c r="A282" s="107"/>
      <c r="B282" s="36"/>
      <c r="C282" s="36"/>
      <c r="D282" s="35" t="s">
        <v>408</v>
      </c>
      <c r="E282" s="3"/>
      <c r="F282" s="110"/>
      <c r="G282" s="46"/>
      <c r="H282" s="93"/>
    </row>
    <row r="283" spans="1:9">
      <c r="A283" s="45"/>
      <c r="B283" s="34"/>
      <c r="C283" s="34"/>
      <c r="D283" s="34"/>
      <c r="E283" s="34"/>
      <c r="F283" s="103"/>
      <c r="G283" s="48"/>
      <c r="H283" s="48"/>
      <c r="I283" s="294"/>
    </row>
    <row r="284" spans="1:9">
      <c r="A284" s="34"/>
      <c r="B284" s="34"/>
      <c r="C284" s="34"/>
      <c r="D284" s="34"/>
      <c r="E284" s="34"/>
      <c r="F284" s="103"/>
      <c r="G284" s="48"/>
      <c r="H284" s="48"/>
    </row>
    <row r="285" spans="1:9" ht="15.75">
      <c r="A285" s="34"/>
      <c r="B285" s="34"/>
      <c r="C285" s="34"/>
      <c r="D285" s="35" t="s">
        <v>416</v>
      </c>
      <c r="E285" s="3"/>
      <c r="F285" s="110"/>
      <c r="G285" s="46"/>
      <c r="H285" s="93"/>
    </row>
    <row r="286" spans="1:9">
      <c r="A286" s="34"/>
      <c r="B286" s="34"/>
      <c r="C286" s="34"/>
      <c r="D286" s="34"/>
      <c r="E286" s="34"/>
      <c r="F286" s="34"/>
      <c r="G286" s="34"/>
      <c r="H286" s="34"/>
    </row>
    <row r="287" spans="1:9">
      <c r="A287" s="34"/>
      <c r="B287" s="34"/>
      <c r="C287" s="34"/>
      <c r="D287" s="34"/>
      <c r="E287" s="34"/>
      <c r="F287" s="34"/>
      <c r="G287" s="34"/>
      <c r="H287" s="34"/>
    </row>
    <row r="288" spans="1:9">
      <c r="A288" s="34"/>
      <c r="B288" s="34"/>
      <c r="C288" s="34"/>
      <c r="D288" s="34"/>
      <c r="E288" s="34"/>
      <c r="F288" s="34"/>
      <c r="G288" s="34"/>
      <c r="H288" s="34"/>
    </row>
    <row r="289" spans="1:8">
      <c r="A289" s="34"/>
      <c r="B289" s="34"/>
      <c r="C289" s="34"/>
      <c r="D289" s="34"/>
      <c r="E289" s="34"/>
      <c r="F289" s="34"/>
      <c r="G289" s="34"/>
      <c r="H289" s="34"/>
    </row>
    <row r="290" spans="1:8">
      <c r="A290" s="99"/>
      <c r="B290" s="100"/>
      <c r="C290" s="100"/>
      <c r="D290" s="100"/>
      <c r="E290" s="100"/>
      <c r="F290" s="100"/>
      <c r="G290" s="100"/>
      <c r="H290" s="101"/>
    </row>
    <row r="291" spans="1:8">
      <c r="A291" s="86"/>
      <c r="B291" s="87"/>
      <c r="C291" s="87"/>
      <c r="D291" s="87"/>
      <c r="E291" s="355"/>
      <c r="F291" s="355"/>
      <c r="G291" s="355"/>
      <c r="H291" s="356"/>
    </row>
    <row r="292" spans="1:8">
      <c r="A292" s="86"/>
      <c r="B292" s="87"/>
      <c r="C292" s="87"/>
      <c r="D292" s="88"/>
      <c r="E292" s="357" t="s">
        <v>22</v>
      </c>
      <c r="F292" s="357"/>
      <c r="G292" s="357"/>
      <c r="H292" s="358"/>
    </row>
    <row r="293" spans="1:8">
      <c r="A293" s="86"/>
      <c r="B293" s="87"/>
      <c r="C293" s="87"/>
      <c r="D293" s="87"/>
      <c r="E293" s="359" t="s">
        <v>23</v>
      </c>
      <c r="F293" s="359"/>
      <c r="G293" s="359"/>
      <c r="H293" s="360"/>
    </row>
    <row r="294" spans="1:8">
      <c r="A294" s="89"/>
      <c r="B294" s="90"/>
      <c r="C294" s="90"/>
      <c r="D294" s="90"/>
      <c r="E294" s="361" t="s">
        <v>584</v>
      </c>
      <c r="F294" s="361"/>
      <c r="G294" s="361"/>
      <c r="H294" s="362"/>
    </row>
  </sheetData>
  <mergeCells count="10">
    <mergeCell ref="A1:H8"/>
    <mergeCell ref="E291:H291"/>
    <mergeCell ref="E292:H292"/>
    <mergeCell ref="E293:H293"/>
    <mergeCell ref="E294:H294"/>
    <mergeCell ref="E13:H13"/>
    <mergeCell ref="B11:H11"/>
    <mergeCell ref="B12:H12"/>
    <mergeCell ref="A10:H10"/>
    <mergeCell ref="F281:G281"/>
  </mergeCells>
  <pageMargins left="0.51181102362204722" right="0.51181102362204722" top="0.78740157480314965" bottom="0.78740157480314965" header="0.31496062992125984" footer="0.31496062992125984"/>
  <pageSetup paperSize="9" scale="77" fitToHeight="0" orientation="landscape" r:id="rId1"/>
  <headerFooter>
    <oddFooter>&amp;C&amp;"Arial,Normal"&amp;8Prefeitura Municipal da Estância Turística de Paraguaçu Paulista - SP - Av. Siqueira Campos 1430 - CEP 19.700-000Fone: (18)3361-9100 - Fax: (18)3361-1331 – www.eparaguacu.sp.gov.br&amp;R&amp;P</oddFooter>
  </headerFooter>
  <rowBreaks count="11" manualBreakCount="11">
    <brk id="37" max="7" man="1"/>
    <brk id="58" max="7" man="1"/>
    <brk id="78" max="7" man="1"/>
    <brk id="102" max="7" man="1"/>
    <brk id="126" max="7" man="1"/>
    <brk id="143" max="7" man="1"/>
    <brk id="163" max="7" man="1"/>
    <brk id="188" max="7" man="1"/>
    <brk id="230" max="7" man="1"/>
    <brk id="252" max="7" man="1"/>
    <brk id="271" max="7" man="1"/>
  </rowBreaks>
  <colBreaks count="1" manualBreakCount="1">
    <brk id="3" max="64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3"/>
  <sheetViews>
    <sheetView view="pageBreakPreview" zoomScale="70" zoomScaleNormal="150" zoomScaleSheetLayoutView="70" workbookViewId="0">
      <selection activeCell="D264" sqref="D264"/>
    </sheetView>
  </sheetViews>
  <sheetFormatPr defaultRowHeight="15"/>
  <cols>
    <col min="1" max="1" width="6.5703125" customWidth="1"/>
    <col min="2" max="3" width="13.28515625" customWidth="1"/>
    <col min="4" max="4" width="79.85546875" customWidth="1"/>
    <col min="5" max="5" width="8.5703125" customWidth="1"/>
    <col min="6" max="6" width="10" customWidth="1"/>
    <col min="7" max="7" width="15.28515625" customWidth="1"/>
    <col min="8" max="8" width="22.42578125" customWidth="1"/>
    <col min="10" max="10" width="17.85546875" customWidth="1"/>
    <col min="11" max="11" width="13.7109375" bestFit="1" customWidth="1"/>
  </cols>
  <sheetData>
    <row r="1" spans="1:8" ht="11.25" customHeight="1">
      <c r="A1" s="349" t="s">
        <v>63</v>
      </c>
      <c r="B1" s="350"/>
      <c r="C1" s="350"/>
      <c r="D1" s="350"/>
      <c r="E1" s="350"/>
      <c r="F1" s="350"/>
      <c r="G1" s="350"/>
      <c r="H1" s="351"/>
    </row>
    <row r="2" spans="1:8" ht="17.25" customHeight="1">
      <c r="A2" s="352"/>
      <c r="B2" s="353"/>
      <c r="C2" s="353"/>
      <c r="D2" s="353"/>
      <c r="E2" s="353"/>
      <c r="F2" s="353"/>
      <c r="G2" s="353"/>
      <c r="H2" s="354"/>
    </row>
    <row r="3" spans="1:8" ht="15" customHeight="1">
      <c r="A3" s="352"/>
      <c r="B3" s="353"/>
      <c r="C3" s="353"/>
      <c r="D3" s="353"/>
      <c r="E3" s="353"/>
      <c r="F3" s="353"/>
      <c r="G3" s="353"/>
      <c r="H3" s="354"/>
    </row>
    <row r="4" spans="1:8" ht="15" customHeight="1">
      <c r="A4" s="352"/>
      <c r="B4" s="353"/>
      <c r="C4" s="353"/>
      <c r="D4" s="353"/>
      <c r="E4" s="353"/>
      <c r="F4" s="353"/>
      <c r="G4" s="353"/>
      <c r="H4" s="354"/>
    </row>
    <row r="5" spans="1:8" ht="15" customHeight="1">
      <c r="A5" s="352"/>
      <c r="B5" s="353"/>
      <c r="C5" s="353"/>
      <c r="D5" s="353"/>
      <c r="E5" s="353"/>
      <c r="F5" s="353"/>
      <c r="G5" s="353"/>
      <c r="H5" s="354"/>
    </row>
    <row r="6" spans="1:8" ht="9.75" customHeight="1">
      <c r="A6" s="352"/>
      <c r="B6" s="353"/>
      <c r="C6" s="353"/>
      <c r="D6" s="353"/>
      <c r="E6" s="353"/>
      <c r="F6" s="353"/>
      <c r="G6" s="353"/>
      <c r="H6" s="354"/>
    </row>
    <row r="7" spans="1:8" ht="4.5" customHeight="1">
      <c r="A7" s="352"/>
      <c r="B7" s="353"/>
      <c r="C7" s="353"/>
      <c r="D7" s="353"/>
      <c r="E7" s="353"/>
      <c r="F7" s="353"/>
      <c r="G7" s="353"/>
      <c r="H7" s="354"/>
    </row>
    <row r="8" spans="1:8" ht="15" customHeight="1">
      <c r="A8" s="352"/>
      <c r="B8" s="353"/>
      <c r="C8" s="353"/>
      <c r="D8" s="353"/>
      <c r="E8" s="353"/>
      <c r="F8" s="353"/>
      <c r="G8" s="353"/>
      <c r="H8" s="354"/>
    </row>
    <row r="9" spans="1:8" ht="8.25" customHeight="1">
      <c r="A9" s="23"/>
      <c r="B9" s="24"/>
      <c r="C9" s="24"/>
      <c r="D9" s="24"/>
      <c r="E9" s="24"/>
      <c r="F9" s="24"/>
      <c r="G9" s="24"/>
      <c r="H9" s="25"/>
    </row>
    <row r="10" spans="1:8" ht="15" customHeight="1">
      <c r="A10" s="369" t="s">
        <v>457</v>
      </c>
      <c r="B10" s="370"/>
      <c r="C10" s="370"/>
      <c r="D10" s="370"/>
      <c r="E10" s="370"/>
      <c r="F10" s="370"/>
      <c r="G10" s="370"/>
      <c r="H10" s="371"/>
    </row>
    <row r="11" spans="1:8" ht="15" customHeight="1">
      <c r="A11" s="4"/>
      <c r="B11" s="365" t="s">
        <v>438</v>
      </c>
      <c r="C11" s="365"/>
      <c r="D11" s="365"/>
      <c r="E11" s="365"/>
      <c r="F11" s="365"/>
      <c r="G11" s="365"/>
      <c r="H11" s="366"/>
    </row>
    <row r="12" spans="1:8" ht="15" customHeight="1">
      <c r="A12" s="4"/>
      <c r="B12" s="367" t="s">
        <v>575</v>
      </c>
      <c r="C12" s="367"/>
      <c r="D12" s="367"/>
      <c r="E12" s="367"/>
      <c r="F12" s="367"/>
      <c r="G12" s="367"/>
      <c r="H12" s="368"/>
    </row>
    <row r="13" spans="1:8" ht="15" customHeight="1">
      <c r="A13" s="5"/>
      <c r="B13" s="363" t="s">
        <v>824</v>
      </c>
      <c r="C13" s="363"/>
      <c r="D13" s="363"/>
      <c r="E13" s="363" t="s">
        <v>440</v>
      </c>
      <c r="F13" s="363"/>
      <c r="G13" s="363"/>
      <c r="H13" s="364"/>
    </row>
    <row r="14" spans="1:8" ht="25.5">
      <c r="A14" s="9" t="s">
        <v>0</v>
      </c>
      <c r="B14" s="10" t="s">
        <v>1</v>
      </c>
      <c r="C14" s="10" t="s">
        <v>2</v>
      </c>
      <c r="D14" s="9" t="s">
        <v>3</v>
      </c>
      <c r="E14" s="9" t="s">
        <v>4</v>
      </c>
      <c r="F14" s="9" t="s">
        <v>5</v>
      </c>
      <c r="G14" s="457" t="s">
        <v>447</v>
      </c>
      <c r="H14" s="458"/>
    </row>
    <row r="15" spans="1:8" ht="9" customHeight="1">
      <c r="A15" s="34"/>
      <c r="B15" s="34"/>
      <c r="C15" s="34"/>
      <c r="D15" s="34"/>
      <c r="E15" s="34"/>
      <c r="F15" s="34"/>
      <c r="G15" s="388"/>
      <c r="H15" s="389"/>
    </row>
    <row r="16" spans="1:8">
      <c r="A16" s="42" t="s">
        <v>61</v>
      </c>
      <c r="B16" s="3"/>
      <c r="C16" s="3"/>
      <c r="D16" s="8" t="s">
        <v>335</v>
      </c>
      <c r="E16" s="3"/>
      <c r="F16" s="3"/>
      <c r="G16" s="386"/>
      <c r="H16" s="387"/>
    </row>
    <row r="17" spans="1:8">
      <c r="A17" s="42">
        <v>1</v>
      </c>
      <c r="B17" s="3"/>
      <c r="C17" s="3"/>
      <c r="D17" s="11" t="s">
        <v>112</v>
      </c>
      <c r="E17" s="3"/>
      <c r="F17" s="3"/>
      <c r="G17" s="428"/>
      <c r="H17" s="429"/>
    </row>
    <row r="18" spans="1:8" s="316" customFormat="1">
      <c r="A18" s="45" t="s">
        <v>9</v>
      </c>
      <c r="B18" s="315" t="s">
        <v>443</v>
      </c>
      <c r="C18" s="33" t="s">
        <v>113</v>
      </c>
      <c r="D18" s="323" t="s">
        <v>114</v>
      </c>
      <c r="E18" s="33" t="s">
        <v>19</v>
      </c>
      <c r="F18" s="52">
        <f>2*3</f>
        <v>6</v>
      </c>
      <c r="G18" s="438" t="s">
        <v>620</v>
      </c>
      <c r="H18" s="439"/>
    </row>
    <row r="19" spans="1:8" s="316" customFormat="1" ht="60.75" customHeight="1">
      <c r="A19" s="45" t="s">
        <v>38</v>
      </c>
      <c r="B19" s="315" t="s">
        <v>443</v>
      </c>
      <c r="C19" s="33" t="s">
        <v>115</v>
      </c>
      <c r="D19" s="32" t="s">
        <v>116</v>
      </c>
      <c r="E19" s="33" t="s">
        <v>20</v>
      </c>
      <c r="F19" s="52">
        <f>((7.05*4.2)-(17.4))*0.2</f>
        <v>2.4420000000000002</v>
      </c>
      <c r="G19" s="425" t="s">
        <v>846</v>
      </c>
      <c r="H19" s="426"/>
    </row>
    <row r="20" spans="1:8" s="316" customFormat="1" ht="49.5" customHeight="1">
      <c r="A20" s="45" t="s">
        <v>65</v>
      </c>
      <c r="B20" s="315" t="s">
        <v>443</v>
      </c>
      <c r="C20" s="45" t="s">
        <v>117</v>
      </c>
      <c r="D20" s="317" t="s">
        <v>118</v>
      </c>
      <c r="E20" s="45" t="s">
        <v>20</v>
      </c>
      <c r="F20" s="52">
        <f>(313.5*0.005)+2.44</f>
        <v>4.0075000000000003</v>
      </c>
      <c r="G20" s="455" t="s">
        <v>847</v>
      </c>
      <c r="H20" s="456"/>
    </row>
    <row r="21" spans="1:8" s="316" customFormat="1" ht="31.5" customHeight="1">
      <c r="A21" s="45" t="s">
        <v>66</v>
      </c>
      <c r="B21" s="315" t="s">
        <v>443</v>
      </c>
      <c r="C21" s="37" t="s">
        <v>119</v>
      </c>
      <c r="D21" s="34" t="s">
        <v>120</v>
      </c>
      <c r="E21" s="33" t="s">
        <v>19</v>
      </c>
      <c r="F21" s="52">
        <f>(41.8*7.5)</f>
        <v>313.5</v>
      </c>
      <c r="G21" s="425" t="s">
        <v>848</v>
      </c>
      <c r="H21" s="426"/>
    </row>
    <row r="22" spans="1:8" s="316" customFormat="1" ht="45.75" customHeight="1">
      <c r="A22" s="45" t="s">
        <v>67</v>
      </c>
      <c r="B22" s="315" t="s">
        <v>443</v>
      </c>
      <c r="C22" s="33" t="s">
        <v>121</v>
      </c>
      <c r="D22" s="34" t="s">
        <v>122</v>
      </c>
      <c r="E22" s="33" t="s">
        <v>19</v>
      </c>
      <c r="F22" s="52">
        <f>(3.6*4.1)+(1.2*2.2)</f>
        <v>17.399999999999999</v>
      </c>
      <c r="G22" s="425" t="s">
        <v>621</v>
      </c>
      <c r="H22" s="426"/>
    </row>
    <row r="23" spans="1:8" s="316" customFormat="1" ht="45.75" customHeight="1">
      <c r="A23" s="45" t="s">
        <v>68</v>
      </c>
      <c r="B23" s="315" t="s">
        <v>443</v>
      </c>
      <c r="C23" s="33" t="s">
        <v>123</v>
      </c>
      <c r="D23" s="34" t="s">
        <v>124</v>
      </c>
      <c r="E23" s="33" t="s">
        <v>21</v>
      </c>
      <c r="F23" s="52">
        <f>8.4+0.65</f>
        <v>9.0500000000000007</v>
      </c>
      <c r="G23" s="425" t="s">
        <v>622</v>
      </c>
      <c r="H23" s="426"/>
    </row>
    <row r="24" spans="1:8" s="316" customFormat="1" ht="63.75" customHeight="1">
      <c r="A24" s="45" t="s">
        <v>69</v>
      </c>
      <c r="B24" s="328" t="s">
        <v>443</v>
      </c>
      <c r="C24" s="33" t="s">
        <v>107</v>
      </c>
      <c r="D24" s="32" t="s">
        <v>106</v>
      </c>
      <c r="E24" s="33" t="s">
        <v>20</v>
      </c>
      <c r="F24" s="52">
        <f>((24.95+7.2-3.64)*0.3*0.4)+(0.7*0.7*0.5)*13</f>
        <v>6.6061999999999994</v>
      </c>
      <c r="G24" s="425" t="s">
        <v>849</v>
      </c>
      <c r="H24" s="426"/>
    </row>
    <row r="25" spans="1:8" s="316" customFormat="1" ht="31.5" customHeight="1">
      <c r="A25" s="45" t="s">
        <v>70</v>
      </c>
      <c r="B25" s="315" t="s">
        <v>443</v>
      </c>
      <c r="C25" s="33" t="s">
        <v>64</v>
      </c>
      <c r="D25" s="169" t="s">
        <v>125</v>
      </c>
      <c r="E25" s="33" t="s">
        <v>20</v>
      </c>
      <c r="F25" s="52">
        <f>(28.51*0.1*0.2)+(0.7*0.7*0.15*13)</f>
        <v>1.5257000000000001</v>
      </c>
      <c r="G25" s="425" t="s">
        <v>850</v>
      </c>
      <c r="H25" s="426"/>
    </row>
    <row r="26" spans="1:8" s="316" customFormat="1">
      <c r="A26" s="45" t="s">
        <v>71</v>
      </c>
      <c r="B26" s="315" t="s">
        <v>443</v>
      </c>
      <c r="C26" s="33" t="s">
        <v>94</v>
      </c>
      <c r="D26" s="32" t="s">
        <v>93</v>
      </c>
      <c r="E26" s="33" t="s">
        <v>19</v>
      </c>
      <c r="F26" s="52">
        <v>189.06</v>
      </c>
      <c r="G26" s="438" t="s">
        <v>718</v>
      </c>
      <c r="H26" s="439"/>
    </row>
    <row r="27" spans="1:8" s="316" customFormat="1">
      <c r="A27" s="45" t="s">
        <v>585</v>
      </c>
      <c r="B27" s="315" t="s">
        <v>443</v>
      </c>
      <c r="C27" s="33" t="s">
        <v>126</v>
      </c>
      <c r="D27" s="32" t="s">
        <v>127</v>
      </c>
      <c r="E27" s="329" t="s">
        <v>128</v>
      </c>
      <c r="F27" s="52">
        <v>3</v>
      </c>
      <c r="G27" s="438" t="s">
        <v>623</v>
      </c>
      <c r="H27" s="439"/>
    </row>
    <row r="28" spans="1:8" s="316" customFormat="1" ht="46.5" customHeight="1">
      <c r="A28" s="45" t="s">
        <v>586</v>
      </c>
      <c r="B28" s="315" t="s">
        <v>443</v>
      </c>
      <c r="C28" s="33" t="s">
        <v>625</v>
      </c>
      <c r="D28" s="32" t="s">
        <v>624</v>
      </c>
      <c r="E28" s="33" t="s">
        <v>19</v>
      </c>
      <c r="F28" s="52">
        <f>(27.8+9.23+1.5)*2.2</f>
        <v>84.766000000000005</v>
      </c>
      <c r="G28" s="425" t="s">
        <v>851</v>
      </c>
      <c r="H28" s="426"/>
    </row>
    <row r="29" spans="1:8" ht="8.25" customHeight="1">
      <c r="A29" s="30"/>
      <c r="B29" s="128"/>
      <c r="C29" s="7"/>
      <c r="D29" s="63"/>
      <c r="E29" s="7"/>
      <c r="F29" s="18"/>
      <c r="G29" s="376"/>
      <c r="H29" s="377"/>
    </row>
    <row r="30" spans="1:8">
      <c r="A30" s="42">
        <v>2</v>
      </c>
      <c r="B30" s="129"/>
      <c r="C30" s="8"/>
      <c r="D30" s="11" t="s">
        <v>129</v>
      </c>
      <c r="E30" s="13"/>
      <c r="F30" s="13"/>
      <c r="G30" s="421"/>
      <c r="H30" s="422"/>
    </row>
    <row r="31" spans="1:8" s="316" customFormat="1" ht="48.75" customHeight="1">
      <c r="A31" s="45" t="s">
        <v>10</v>
      </c>
      <c r="B31" s="315" t="s">
        <v>443</v>
      </c>
      <c r="C31" s="33" t="s">
        <v>92</v>
      </c>
      <c r="D31" s="169" t="s">
        <v>91</v>
      </c>
      <c r="E31" s="33" t="s">
        <v>21</v>
      </c>
      <c r="F31" s="52">
        <f>3*13</f>
        <v>39</v>
      </c>
      <c r="G31" s="425" t="s">
        <v>852</v>
      </c>
      <c r="H31" s="426"/>
    </row>
    <row r="32" spans="1:8" s="316" customFormat="1" ht="30.75" customHeight="1">
      <c r="A32" s="45" t="s">
        <v>31</v>
      </c>
      <c r="B32" s="315" t="s">
        <v>443</v>
      </c>
      <c r="C32" s="33" t="s">
        <v>130</v>
      </c>
      <c r="D32" s="32" t="s">
        <v>131</v>
      </c>
      <c r="E32" s="33" t="s">
        <v>20</v>
      </c>
      <c r="F32" s="52">
        <f>(0.7*0.7*0.35)*13</f>
        <v>2.2294999999999994</v>
      </c>
      <c r="G32" s="425" t="s">
        <v>626</v>
      </c>
      <c r="H32" s="426"/>
    </row>
    <row r="33" spans="1:8" s="316" customFormat="1" ht="35.25" customHeight="1">
      <c r="A33" s="45" t="s">
        <v>32</v>
      </c>
      <c r="B33" s="315" t="s">
        <v>443</v>
      </c>
      <c r="C33" s="33" t="s">
        <v>80</v>
      </c>
      <c r="D33" s="32" t="s">
        <v>132</v>
      </c>
      <c r="E33" s="33" t="s">
        <v>20</v>
      </c>
      <c r="F33" s="52">
        <f>(0.7*0.7*0.35)*13</f>
        <v>2.2294999999999994</v>
      </c>
      <c r="G33" s="425" t="s">
        <v>626</v>
      </c>
      <c r="H33" s="426"/>
    </row>
    <row r="34" spans="1:8" s="316" customFormat="1" ht="29.25" customHeight="1">
      <c r="A34" s="45" t="s">
        <v>33</v>
      </c>
      <c r="B34" s="315" t="s">
        <v>443</v>
      </c>
      <c r="C34" s="33" t="s">
        <v>37</v>
      </c>
      <c r="D34" s="32" t="s">
        <v>133</v>
      </c>
      <c r="E34" s="33" t="s">
        <v>134</v>
      </c>
      <c r="F34" s="52">
        <f>2.23*70</f>
        <v>156.1</v>
      </c>
      <c r="G34" s="425" t="s">
        <v>627</v>
      </c>
      <c r="H34" s="426"/>
    </row>
    <row r="35" spans="1:8" s="316" customFormat="1" ht="50.25" customHeight="1">
      <c r="A35" s="45" t="s">
        <v>34</v>
      </c>
      <c r="B35" s="315" t="s">
        <v>443</v>
      </c>
      <c r="C35" s="33" t="s">
        <v>130</v>
      </c>
      <c r="D35" s="32" t="s">
        <v>135</v>
      </c>
      <c r="E35" s="33" t="s">
        <v>20</v>
      </c>
      <c r="F35" s="52">
        <f>(28.51*0.2*0.3)+(4.2*0.2*0.3)</f>
        <v>1.9626000000000001</v>
      </c>
      <c r="G35" s="425" t="s">
        <v>853</v>
      </c>
      <c r="H35" s="426"/>
    </row>
    <row r="36" spans="1:8" s="316" customFormat="1" ht="29.25" customHeight="1">
      <c r="A36" s="45" t="s">
        <v>35</v>
      </c>
      <c r="B36" s="315" t="s">
        <v>443</v>
      </c>
      <c r="C36" s="33" t="s">
        <v>80</v>
      </c>
      <c r="D36" s="32" t="s">
        <v>136</v>
      </c>
      <c r="E36" s="33" t="s">
        <v>20</v>
      </c>
      <c r="F36" s="52">
        <f>(28.51*0.2*0.3)+(4.2*0.2*0.3)</f>
        <v>1.9626000000000001</v>
      </c>
      <c r="G36" s="425" t="s">
        <v>854</v>
      </c>
      <c r="H36" s="426"/>
    </row>
    <row r="37" spans="1:8" s="316" customFormat="1" ht="48" customHeight="1">
      <c r="A37" s="45" t="s">
        <v>82</v>
      </c>
      <c r="B37" s="315" t="s">
        <v>443</v>
      </c>
      <c r="C37" s="33" t="s">
        <v>36</v>
      </c>
      <c r="D37" s="32" t="s">
        <v>137</v>
      </c>
      <c r="E37" s="33" t="s">
        <v>134</v>
      </c>
      <c r="F37" s="52">
        <f>(1.96*90)*0.8</f>
        <v>141.12</v>
      </c>
      <c r="G37" s="425" t="s">
        <v>855</v>
      </c>
      <c r="H37" s="426"/>
    </row>
    <row r="38" spans="1:8" s="316" customFormat="1" ht="44.25" customHeight="1">
      <c r="A38" s="45" t="s">
        <v>83</v>
      </c>
      <c r="B38" s="315" t="s">
        <v>443</v>
      </c>
      <c r="C38" s="33" t="s">
        <v>37</v>
      </c>
      <c r="D38" s="32" t="s">
        <v>138</v>
      </c>
      <c r="E38" s="33" t="s">
        <v>134</v>
      </c>
      <c r="F38" s="52">
        <f>(1.96*90)*0.2</f>
        <v>35.28</v>
      </c>
      <c r="G38" s="425" t="s">
        <v>856</v>
      </c>
      <c r="H38" s="426"/>
    </row>
    <row r="39" spans="1:8" s="316" customFormat="1" ht="47.25" customHeight="1">
      <c r="A39" s="45" t="s">
        <v>84</v>
      </c>
      <c r="B39" s="315" t="s">
        <v>443</v>
      </c>
      <c r="C39" s="33" t="s">
        <v>88</v>
      </c>
      <c r="D39" s="32" t="s">
        <v>87</v>
      </c>
      <c r="E39" s="33" t="s">
        <v>20</v>
      </c>
      <c r="F39" s="52">
        <f>(0.7*0.7*13*0.03)+(28.51*0.2*0.03)+(4.2*0.2*0.03)</f>
        <v>0.38735999999999998</v>
      </c>
      <c r="G39" s="425" t="s">
        <v>857</v>
      </c>
      <c r="H39" s="426"/>
    </row>
    <row r="40" spans="1:8" s="316" customFormat="1" ht="32.25" customHeight="1">
      <c r="A40" s="45" t="s">
        <v>95</v>
      </c>
      <c r="B40" s="315" t="s">
        <v>443</v>
      </c>
      <c r="C40" s="33" t="s">
        <v>139</v>
      </c>
      <c r="D40" s="32" t="s">
        <v>140</v>
      </c>
      <c r="E40" s="33" t="s">
        <v>19</v>
      </c>
      <c r="F40" s="52">
        <f>(0.2+0.3+0.3)*28.51</f>
        <v>22.808000000000003</v>
      </c>
      <c r="G40" s="425" t="s">
        <v>858</v>
      </c>
      <c r="H40" s="426"/>
    </row>
    <row r="41" spans="1:8" s="316" customFormat="1" ht="30" customHeight="1">
      <c r="A41" s="45" t="s">
        <v>628</v>
      </c>
      <c r="B41" s="315" t="s">
        <v>443</v>
      </c>
      <c r="C41" s="33" t="s">
        <v>630</v>
      </c>
      <c r="D41" s="32" t="s">
        <v>629</v>
      </c>
      <c r="E41" s="33" t="s">
        <v>19</v>
      </c>
      <c r="F41" s="52">
        <f xml:space="preserve"> (28.51*0.6)+(4.2*0.6)</f>
        <v>19.626000000000001</v>
      </c>
      <c r="G41" s="425" t="s">
        <v>859</v>
      </c>
      <c r="H41" s="426"/>
    </row>
    <row r="42" spans="1:8" ht="7.5" customHeight="1">
      <c r="A42" s="30"/>
      <c r="B42" s="128"/>
      <c r="C42" s="98"/>
      <c r="D42" s="63"/>
      <c r="E42" s="7"/>
      <c r="F42" s="18"/>
      <c r="G42" s="376"/>
      <c r="H42" s="377"/>
    </row>
    <row r="43" spans="1:8">
      <c r="A43" s="42">
        <v>3</v>
      </c>
      <c r="B43" s="129"/>
      <c r="C43" s="8"/>
      <c r="D43" s="11" t="s">
        <v>141</v>
      </c>
      <c r="E43" s="13"/>
      <c r="F43" s="13"/>
      <c r="G43" s="421"/>
      <c r="H43" s="422"/>
    </row>
    <row r="44" spans="1:8" s="316" customFormat="1" ht="48" customHeight="1">
      <c r="A44" s="45" t="s">
        <v>11</v>
      </c>
      <c r="B44" s="315" t="s">
        <v>443</v>
      </c>
      <c r="C44" s="33" t="s">
        <v>130</v>
      </c>
      <c r="D44" s="326" t="s">
        <v>631</v>
      </c>
      <c r="E44" s="33" t="s">
        <v>20</v>
      </c>
      <c r="F44" s="52">
        <f>((0.2*0.25*4)*4)+((0.15*0.2*4)*6)+((0.2*0.2*5.01)*3)</f>
        <v>2.1212</v>
      </c>
      <c r="G44" s="425" t="s">
        <v>860</v>
      </c>
      <c r="H44" s="426"/>
    </row>
    <row r="45" spans="1:8" s="316" customFormat="1" ht="30.75" customHeight="1">
      <c r="A45" s="45" t="s">
        <v>72</v>
      </c>
      <c r="B45" s="315" t="s">
        <v>443</v>
      </c>
      <c r="C45" s="33" t="s">
        <v>36</v>
      </c>
      <c r="D45" s="326" t="s">
        <v>632</v>
      </c>
      <c r="E45" s="33" t="s">
        <v>134</v>
      </c>
      <c r="F45" s="52">
        <f>2.12*90*0.8</f>
        <v>152.64000000000001</v>
      </c>
      <c r="G45" s="425" t="s">
        <v>861</v>
      </c>
      <c r="H45" s="426"/>
    </row>
    <row r="46" spans="1:8" s="316" customFormat="1" ht="29.25" customHeight="1">
      <c r="A46" s="45" t="s">
        <v>73</v>
      </c>
      <c r="B46" s="315" t="s">
        <v>443</v>
      </c>
      <c r="C46" s="33" t="s">
        <v>37</v>
      </c>
      <c r="D46" s="326" t="s">
        <v>633</v>
      </c>
      <c r="E46" s="33" t="s">
        <v>134</v>
      </c>
      <c r="F46" s="52">
        <f>(2.12*90)*0.2</f>
        <v>38.160000000000004</v>
      </c>
      <c r="G46" s="425" t="s">
        <v>862</v>
      </c>
      <c r="H46" s="426"/>
    </row>
    <row r="47" spans="1:8" s="316" customFormat="1" ht="59.25" customHeight="1">
      <c r="A47" s="45" t="s">
        <v>74</v>
      </c>
      <c r="B47" s="315" t="s">
        <v>443</v>
      </c>
      <c r="C47" s="33" t="s">
        <v>130</v>
      </c>
      <c r="D47" s="326" t="s">
        <v>841</v>
      </c>
      <c r="E47" s="33" t="s">
        <v>20</v>
      </c>
      <c r="F47" s="52">
        <f>(28.51*0.12*0.2)+(7.66*0.12*0.2)</f>
        <v>0.86808000000000007</v>
      </c>
      <c r="G47" s="425" t="s">
        <v>863</v>
      </c>
      <c r="H47" s="426"/>
    </row>
    <row r="48" spans="1:8" s="316" customFormat="1" ht="61.5" customHeight="1">
      <c r="A48" s="45" t="s">
        <v>75</v>
      </c>
      <c r="B48" s="315" t="s">
        <v>443</v>
      </c>
      <c r="C48" s="33" t="s">
        <v>593</v>
      </c>
      <c r="D48" s="317" t="s">
        <v>842</v>
      </c>
      <c r="E48" s="33" t="s">
        <v>20</v>
      </c>
      <c r="F48" s="52">
        <f>F47</f>
        <v>0.86808000000000007</v>
      </c>
      <c r="G48" s="425" t="s">
        <v>863</v>
      </c>
      <c r="H48" s="426"/>
    </row>
    <row r="49" spans="1:8" s="316" customFormat="1" ht="60" customHeight="1">
      <c r="A49" s="45" t="s">
        <v>76</v>
      </c>
      <c r="B49" s="315" t="s">
        <v>443</v>
      </c>
      <c r="C49" s="33" t="s">
        <v>36</v>
      </c>
      <c r="D49" s="326" t="s">
        <v>843</v>
      </c>
      <c r="E49" s="33" t="s">
        <v>134</v>
      </c>
      <c r="F49" s="52">
        <f>(0.87*90)*0.8</f>
        <v>62.64</v>
      </c>
      <c r="G49" s="425" t="s">
        <v>864</v>
      </c>
      <c r="H49" s="426"/>
    </row>
    <row r="50" spans="1:8" s="316" customFormat="1" ht="58.5" customHeight="1">
      <c r="A50" s="45" t="s">
        <v>78</v>
      </c>
      <c r="B50" s="315" t="s">
        <v>443</v>
      </c>
      <c r="C50" s="33" t="s">
        <v>37</v>
      </c>
      <c r="D50" s="326" t="s">
        <v>844</v>
      </c>
      <c r="E50" s="33" t="s">
        <v>134</v>
      </c>
      <c r="F50" s="52">
        <f>(0.87*90)*0.2</f>
        <v>15.66</v>
      </c>
      <c r="G50" s="425" t="s">
        <v>865</v>
      </c>
      <c r="H50" s="426"/>
    </row>
    <row r="51" spans="1:8" s="316" customFormat="1" ht="62.25" customHeight="1">
      <c r="A51" s="45" t="s">
        <v>79</v>
      </c>
      <c r="B51" s="315" t="s">
        <v>443</v>
      </c>
      <c r="C51" s="33" t="s">
        <v>90</v>
      </c>
      <c r="D51" s="326" t="s">
        <v>89</v>
      </c>
      <c r="E51" s="33" t="s">
        <v>19</v>
      </c>
      <c r="F51" s="52">
        <f>(0.3*4*2*13)+(0.3*(28.51+7.66)*2)</f>
        <v>52.902000000000001</v>
      </c>
      <c r="G51" s="425" t="s">
        <v>866</v>
      </c>
      <c r="H51" s="426"/>
    </row>
    <row r="52" spans="1:8" ht="8.25" customHeight="1">
      <c r="A52" s="30"/>
      <c r="B52" s="128"/>
      <c r="C52" s="7"/>
      <c r="D52" s="22"/>
      <c r="E52" s="7"/>
      <c r="F52" s="18"/>
      <c r="G52" s="376"/>
      <c r="H52" s="377"/>
    </row>
    <row r="53" spans="1:8">
      <c r="A53" s="42">
        <v>4</v>
      </c>
      <c r="B53" s="129"/>
      <c r="C53" s="8"/>
      <c r="D53" s="11" t="s">
        <v>143</v>
      </c>
      <c r="E53" s="13"/>
      <c r="F53" s="13"/>
      <c r="G53" s="421"/>
      <c r="H53" s="422"/>
    </row>
    <row r="54" spans="1:8" s="316" customFormat="1" ht="33.75" customHeight="1">
      <c r="A54" s="45" t="s">
        <v>12</v>
      </c>
      <c r="B54" s="315" t="s">
        <v>443</v>
      </c>
      <c r="C54" s="33" t="s">
        <v>144</v>
      </c>
      <c r="D54" s="326" t="s">
        <v>145</v>
      </c>
      <c r="E54" s="33" t="s">
        <v>19</v>
      </c>
      <c r="F54" s="52">
        <f>(5.3*10)+14.1+11.94</f>
        <v>79.039999999999992</v>
      </c>
      <c r="G54" s="425" t="s">
        <v>867</v>
      </c>
      <c r="H54" s="426"/>
    </row>
    <row r="55" spans="1:8" s="316" customFormat="1" ht="45" customHeight="1">
      <c r="A55" s="45" t="s">
        <v>13</v>
      </c>
      <c r="B55" s="315" t="s">
        <v>443</v>
      </c>
      <c r="C55" s="33" t="s">
        <v>109</v>
      </c>
      <c r="D55" s="326" t="s">
        <v>146</v>
      </c>
      <c r="E55" s="33" t="s">
        <v>19</v>
      </c>
      <c r="F55" s="52">
        <f>8.8+0.65*0.8</f>
        <v>9.32</v>
      </c>
      <c r="G55" s="425" t="s">
        <v>634</v>
      </c>
      <c r="H55" s="426"/>
    </row>
    <row r="56" spans="1:8" s="316" customFormat="1" ht="32.25" customHeight="1">
      <c r="A56" s="45" t="s">
        <v>14</v>
      </c>
      <c r="B56" s="315" t="s">
        <v>443</v>
      </c>
      <c r="C56" s="33" t="s">
        <v>108</v>
      </c>
      <c r="D56" s="317" t="s">
        <v>450</v>
      </c>
      <c r="E56" s="33" t="s">
        <v>19</v>
      </c>
      <c r="F56" s="52">
        <f>(7.65+1.2)*1.3</f>
        <v>11.505000000000001</v>
      </c>
      <c r="G56" s="425" t="s">
        <v>792</v>
      </c>
      <c r="H56" s="426"/>
    </row>
    <row r="57" spans="1:8" s="316" customFormat="1" ht="57.75" customHeight="1">
      <c r="A57" s="45" t="s">
        <v>110</v>
      </c>
      <c r="B57" s="315" t="s">
        <v>443</v>
      </c>
      <c r="C57" s="33" t="s">
        <v>130</v>
      </c>
      <c r="D57" s="317" t="s">
        <v>449</v>
      </c>
      <c r="E57" s="33" t="s">
        <v>20</v>
      </c>
      <c r="F57" s="52">
        <f>(0.2*0.2*1.5*6)+(0.2*0.2*6.8)+(2.2*0.06*2)</f>
        <v>0.89600000000000013</v>
      </c>
      <c r="G57" s="455" t="s">
        <v>635</v>
      </c>
      <c r="H57" s="456"/>
    </row>
    <row r="58" spans="1:8" s="316" customFormat="1" ht="31.5" customHeight="1">
      <c r="A58" s="45" t="s">
        <v>111</v>
      </c>
      <c r="B58" s="315" t="s">
        <v>443</v>
      </c>
      <c r="C58" s="33" t="s">
        <v>36</v>
      </c>
      <c r="D58" s="317" t="s">
        <v>149</v>
      </c>
      <c r="E58" s="33" t="s">
        <v>51</v>
      </c>
      <c r="F58" s="52">
        <f>0.9*90*0.8</f>
        <v>64.8</v>
      </c>
      <c r="G58" s="425" t="s">
        <v>636</v>
      </c>
      <c r="H58" s="426"/>
    </row>
    <row r="59" spans="1:8" s="316" customFormat="1" ht="33" customHeight="1">
      <c r="A59" s="45" t="s">
        <v>147</v>
      </c>
      <c r="B59" s="315" t="s">
        <v>443</v>
      </c>
      <c r="C59" s="33" t="s">
        <v>37</v>
      </c>
      <c r="D59" s="317" t="s">
        <v>151</v>
      </c>
      <c r="E59" s="33" t="s">
        <v>51</v>
      </c>
      <c r="F59" s="52">
        <f>0.9*90*0.2</f>
        <v>16.2</v>
      </c>
      <c r="G59" s="425" t="s">
        <v>637</v>
      </c>
      <c r="H59" s="426"/>
    </row>
    <row r="60" spans="1:8" s="316" customFormat="1" ht="45.75" customHeight="1">
      <c r="A60" s="45" t="s">
        <v>148</v>
      </c>
      <c r="B60" s="315" t="s">
        <v>443</v>
      </c>
      <c r="C60" s="33" t="s">
        <v>139</v>
      </c>
      <c r="D60" s="317" t="s">
        <v>788</v>
      </c>
      <c r="E60" s="33" t="s">
        <v>19</v>
      </c>
      <c r="F60" s="52">
        <f>(1.2*4*1.5)+(1.2*1.2)+((0.6+0.6+1.2+1.2)*1.5)+(7.65*1.5)</f>
        <v>25.515000000000001</v>
      </c>
      <c r="G60" s="425" t="s">
        <v>638</v>
      </c>
      <c r="H60" s="426"/>
    </row>
    <row r="61" spans="1:8" s="316" customFormat="1" ht="45.75" customHeight="1">
      <c r="A61" s="45" t="s">
        <v>150</v>
      </c>
      <c r="B61" s="315" t="s">
        <v>443</v>
      </c>
      <c r="C61" s="33" t="s">
        <v>152</v>
      </c>
      <c r="D61" s="317" t="s">
        <v>153</v>
      </c>
      <c r="E61" s="33" t="s">
        <v>19</v>
      </c>
      <c r="F61" s="52">
        <f>(1.2*4*1.5)+(1.2*1.2)</f>
        <v>8.6399999999999988</v>
      </c>
      <c r="G61" s="425" t="s">
        <v>639</v>
      </c>
      <c r="H61" s="426"/>
    </row>
    <row r="62" spans="1:8" ht="7.5" customHeight="1">
      <c r="A62" s="30"/>
      <c r="B62" s="128"/>
      <c r="C62" s="7"/>
      <c r="D62" s="66"/>
      <c r="E62" s="7"/>
      <c r="F62" s="18"/>
      <c r="G62" s="376"/>
      <c r="H62" s="377"/>
    </row>
    <row r="63" spans="1:8">
      <c r="A63" s="42">
        <v>5</v>
      </c>
      <c r="B63" s="129"/>
      <c r="C63" s="13"/>
      <c r="D63" s="11" t="s">
        <v>154</v>
      </c>
      <c r="E63" s="13"/>
      <c r="F63" s="13"/>
      <c r="G63" s="421"/>
      <c r="H63" s="422"/>
    </row>
    <row r="64" spans="1:8" s="316" customFormat="1" ht="45" customHeight="1">
      <c r="A64" s="45" t="s">
        <v>15</v>
      </c>
      <c r="B64" s="315" t="s">
        <v>443</v>
      </c>
      <c r="C64" s="33" t="s">
        <v>142</v>
      </c>
      <c r="D64" s="317" t="s">
        <v>155</v>
      </c>
      <c r="E64" s="33" t="s">
        <v>134</v>
      </c>
      <c r="F64" s="52">
        <f>((8.14*2*0.18*0.006)+(8.64*0.12*0.003))*7850*5</f>
        <v>812.19240000000002</v>
      </c>
      <c r="G64" s="425" t="s">
        <v>868</v>
      </c>
      <c r="H64" s="426"/>
    </row>
    <row r="65" spans="1:8" s="316" customFormat="1" ht="46.5" customHeight="1">
      <c r="A65" s="45" t="s">
        <v>16</v>
      </c>
      <c r="B65" s="315" t="s">
        <v>443</v>
      </c>
      <c r="C65" s="33" t="s">
        <v>142</v>
      </c>
      <c r="D65" s="169" t="s">
        <v>156</v>
      </c>
      <c r="E65" s="33" t="s">
        <v>134</v>
      </c>
      <c r="F65" s="52">
        <f>(24.95*8*0.195*0.002*7850)+(12.7*0.195*0.002*7850*3)</f>
        <v>727.71854999999994</v>
      </c>
      <c r="G65" s="425" t="s">
        <v>869</v>
      </c>
      <c r="H65" s="426"/>
    </row>
    <row r="66" spans="1:8" s="316" customFormat="1" ht="59.25" customHeight="1">
      <c r="A66" s="45" t="s">
        <v>17</v>
      </c>
      <c r="B66" s="315" t="s">
        <v>443</v>
      </c>
      <c r="C66" s="33" t="s">
        <v>157</v>
      </c>
      <c r="D66" s="317" t="s">
        <v>158</v>
      </c>
      <c r="E66" s="33" t="s">
        <v>19</v>
      </c>
      <c r="F66" s="52">
        <f>(313.5)+(172.55)</f>
        <v>486.05</v>
      </c>
      <c r="G66" s="425" t="s">
        <v>870</v>
      </c>
      <c r="H66" s="426"/>
    </row>
    <row r="67" spans="1:8" s="316" customFormat="1" ht="29.25">
      <c r="A67" s="45" t="s">
        <v>40</v>
      </c>
      <c r="B67" s="315" t="s">
        <v>443</v>
      </c>
      <c r="C67" s="33" t="s">
        <v>591</v>
      </c>
      <c r="D67" s="317" t="s">
        <v>590</v>
      </c>
      <c r="E67" s="33" t="s">
        <v>21</v>
      </c>
      <c r="F67" s="52">
        <f>35.9+19.74</f>
        <v>55.64</v>
      </c>
      <c r="G67" s="436" t="s">
        <v>643</v>
      </c>
      <c r="H67" s="437"/>
    </row>
    <row r="68" spans="1:8" s="316" customFormat="1" ht="45" customHeight="1">
      <c r="A68" s="45" t="s">
        <v>41</v>
      </c>
      <c r="B68" s="315" t="s">
        <v>443</v>
      </c>
      <c r="C68" s="33" t="s">
        <v>159</v>
      </c>
      <c r="D68" s="317" t="s">
        <v>160</v>
      </c>
      <c r="E68" s="33" t="s">
        <v>19</v>
      </c>
      <c r="F68" s="52">
        <f>12.7*3</f>
        <v>38.099999999999994</v>
      </c>
      <c r="G68" s="425" t="s">
        <v>871</v>
      </c>
      <c r="H68" s="426"/>
    </row>
    <row r="69" spans="1:8" s="316" customFormat="1" ht="29.25" customHeight="1">
      <c r="A69" s="45" t="s">
        <v>52</v>
      </c>
      <c r="B69" s="315" t="s">
        <v>443</v>
      </c>
      <c r="C69" s="33" t="s">
        <v>161</v>
      </c>
      <c r="D69" s="32" t="s">
        <v>441</v>
      </c>
      <c r="E69" s="33" t="s">
        <v>21</v>
      </c>
      <c r="F69" s="52">
        <v>67.42</v>
      </c>
      <c r="G69" s="436" t="s">
        <v>641</v>
      </c>
      <c r="H69" s="437"/>
    </row>
    <row r="70" spans="1:8" s="316" customFormat="1" ht="31.5" customHeight="1">
      <c r="A70" s="45" t="s">
        <v>53</v>
      </c>
      <c r="B70" s="315" t="s">
        <v>443</v>
      </c>
      <c r="C70" s="33" t="s">
        <v>161</v>
      </c>
      <c r="D70" s="32" t="s">
        <v>592</v>
      </c>
      <c r="E70" s="33" t="s">
        <v>21</v>
      </c>
      <c r="F70" s="52">
        <v>67.42</v>
      </c>
      <c r="G70" s="436" t="s">
        <v>640</v>
      </c>
      <c r="H70" s="437"/>
    </row>
    <row r="71" spans="1:8" s="316" customFormat="1" ht="48.75" customHeight="1">
      <c r="A71" s="45" t="s">
        <v>54</v>
      </c>
      <c r="B71" s="315" t="s">
        <v>443</v>
      </c>
      <c r="C71" s="33" t="s">
        <v>162</v>
      </c>
      <c r="D71" s="32" t="s">
        <v>163</v>
      </c>
      <c r="E71" s="33" t="s">
        <v>21</v>
      </c>
      <c r="F71" s="52">
        <f>67.42+7.5+7.5</f>
        <v>82.42</v>
      </c>
      <c r="G71" s="394" t="s">
        <v>872</v>
      </c>
      <c r="H71" s="395"/>
    </row>
    <row r="72" spans="1:8" s="316" customFormat="1" ht="49.5" customHeight="1">
      <c r="A72" s="45" t="s">
        <v>55</v>
      </c>
      <c r="B72" s="315" t="s">
        <v>443</v>
      </c>
      <c r="C72" s="33" t="s">
        <v>162</v>
      </c>
      <c r="D72" s="34" t="s">
        <v>164</v>
      </c>
      <c r="E72" s="33" t="s">
        <v>21</v>
      </c>
      <c r="F72" s="52">
        <f>3.66*5</f>
        <v>18.3</v>
      </c>
      <c r="G72" s="425" t="s">
        <v>642</v>
      </c>
      <c r="H72" s="426"/>
    </row>
    <row r="73" spans="1:8" s="316" customFormat="1" ht="45" customHeight="1">
      <c r="A73" s="45" t="s">
        <v>56</v>
      </c>
      <c r="B73" s="315" t="s">
        <v>443</v>
      </c>
      <c r="C73" s="33" t="s">
        <v>165</v>
      </c>
      <c r="D73" s="34" t="s">
        <v>166</v>
      </c>
      <c r="E73" s="33" t="s">
        <v>134</v>
      </c>
      <c r="F73" s="52">
        <f>(0.6+(1.5*1.2))*15.6</f>
        <v>37.44</v>
      </c>
      <c r="G73" s="425" t="s">
        <v>873</v>
      </c>
      <c r="H73" s="426"/>
    </row>
    <row r="74" spans="1:8" ht="7.5" customHeight="1">
      <c r="A74" s="30"/>
      <c r="B74" s="128"/>
      <c r="C74" s="7"/>
      <c r="D74" s="22"/>
      <c r="E74" s="7"/>
      <c r="F74" s="18"/>
      <c r="G74" s="376"/>
      <c r="H74" s="377"/>
    </row>
    <row r="75" spans="1:8">
      <c r="A75" s="42">
        <v>6</v>
      </c>
      <c r="B75" s="130"/>
      <c r="C75" s="13"/>
      <c r="D75" s="11" t="s">
        <v>167</v>
      </c>
      <c r="E75" s="13"/>
      <c r="F75" s="13"/>
      <c r="G75" s="421"/>
      <c r="H75" s="422"/>
    </row>
    <row r="76" spans="1:8" s="316" customFormat="1" ht="46.5" customHeight="1">
      <c r="A76" s="45" t="s">
        <v>168</v>
      </c>
      <c r="B76" s="315" t="s">
        <v>443</v>
      </c>
      <c r="C76" s="33" t="s">
        <v>175</v>
      </c>
      <c r="D76" s="32" t="s">
        <v>412</v>
      </c>
      <c r="E76" s="33" t="s">
        <v>19</v>
      </c>
      <c r="F76" s="52">
        <f>(0.3*4*2*13)+(0.3*(28.51+7.66)*2)</f>
        <v>52.902000000000001</v>
      </c>
      <c r="G76" s="425" t="s">
        <v>874</v>
      </c>
      <c r="H76" s="426"/>
    </row>
    <row r="77" spans="1:8" s="316" customFormat="1" ht="45.75" customHeight="1">
      <c r="A77" s="45" t="s">
        <v>169</v>
      </c>
      <c r="B77" s="315" t="s">
        <v>443</v>
      </c>
      <c r="C77" s="33" t="s">
        <v>170</v>
      </c>
      <c r="D77" s="32" t="s">
        <v>171</v>
      </c>
      <c r="E77" s="33" t="s">
        <v>19</v>
      </c>
      <c r="F77" s="52">
        <f>F76</f>
        <v>52.902000000000001</v>
      </c>
      <c r="G77" s="425" t="s">
        <v>874</v>
      </c>
      <c r="H77" s="426"/>
    </row>
    <row r="78" spans="1:8" s="316" customFormat="1" ht="33" customHeight="1">
      <c r="A78" s="45" t="s">
        <v>172</v>
      </c>
      <c r="B78" s="315" t="s">
        <v>443</v>
      </c>
      <c r="C78" s="33" t="s">
        <v>170</v>
      </c>
      <c r="D78" s="32" t="s">
        <v>173</v>
      </c>
      <c r="E78" s="33" t="s">
        <v>19</v>
      </c>
      <c r="F78" s="52">
        <f>((7.65+1.2)*1.5)+(1.2*1.2)</f>
        <v>14.714999999999998</v>
      </c>
      <c r="G78" s="425" t="s">
        <v>644</v>
      </c>
      <c r="H78" s="426"/>
    </row>
    <row r="79" spans="1:8" s="316" customFormat="1" ht="31.5" customHeight="1">
      <c r="A79" s="45" t="s">
        <v>174</v>
      </c>
      <c r="B79" s="315" t="s">
        <v>443</v>
      </c>
      <c r="C79" s="33" t="s">
        <v>175</v>
      </c>
      <c r="D79" s="32" t="s">
        <v>413</v>
      </c>
      <c r="E79" s="33" t="s">
        <v>19</v>
      </c>
      <c r="F79" s="52">
        <f>((7.65+1.2)*1.5)+(1.2*1.2)</f>
        <v>14.714999999999998</v>
      </c>
      <c r="G79" s="425" t="s">
        <v>645</v>
      </c>
      <c r="H79" s="426"/>
    </row>
    <row r="80" spans="1:8" ht="7.5" customHeight="1">
      <c r="A80" s="30"/>
      <c r="B80" s="128"/>
      <c r="C80" s="7"/>
      <c r="D80" s="66"/>
      <c r="E80" s="7"/>
      <c r="F80" s="18"/>
      <c r="G80" s="376"/>
      <c r="H80" s="377"/>
    </row>
    <row r="81" spans="1:8">
      <c r="A81" s="42">
        <v>7</v>
      </c>
      <c r="B81" s="130"/>
      <c r="C81" s="13"/>
      <c r="D81" s="11" t="s">
        <v>176</v>
      </c>
      <c r="E81" s="13"/>
      <c r="F81" s="19"/>
      <c r="G81" s="421"/>
      <c r="H81" s="422"/>
    </row>
    <row r="82" spans="1:8" s="316" customFormat="1" ht="43.5" customHeight="1">
      <c r="A82" s="45" t="s">
        <v>57</v>
      </c>
      <c r="B82" s="315" t="s">
        <v>443</v>
      </c>
      <c r="C82" s="45" t="s">
        <v>177</v>
      </c>
      <c r="D82" s="317" t="s">
        <v>178</v>
      </c>
      <c r="E82" s="45" t="s">
        <v>20</v>
      </c>
      <c r="F82" s="52">
        <f>(8.4*0.65)*0.08</f>
        <v>0.43680000000000008</v>
      </c>
      <c r="G82" s="425" t="s">
        <v>647</v>
      </c>
      <c r="H82" s="426"/>
    </row>
    <row r="83" spans="1:8" s="316" customFormat="1" ht="45.75" customHeight="1">
      <c r="A83" s="45" t="s">
        <v>58</v>
      </c>
      <c r="B83" s="315" t="s">
        <v>443</v>
      </c>
      <c r="C83" s="33" t="s">
        <v>179</v>
      </c>
      <c r="D83" s="317" t="s">
        <v>180</v>
      </c>
      <c r="E83" s="33" t="s">
        <v>19</v>
      </c>
      <c r="F83" s="52">
        <f>9.05*0.1</f>
        <v>0.90500000000000014</v>
      </c>
      <c r="G83" s="425" t="s">
        <v>648</v>
      </c>
      <c r="H83" s="426"/>
    </row>
    <row r="84" spans="1:8" ht="6.75" customHeight="1">
      <c r="A84" s="30"/>
      <c r="B84" s="128"/>
      <c r="C84" s="7"/>
      <c r="D84" s="22"/>
      <c r="E84" s="7"/>
      <c r="F84" s="18"/>
      <c r="G84" s="374"/>
      <c r="H84" s="375"/>
    </row>
    <row r="85" spans="1:8">
      <c r="A85" s="42">
        <v>8</v>
      </c>
      <c r="B85" s="130"/>
      <c r="C85" s="13"/>
      <c r="D85" s="11" t="s">
        <v>181</v>
      </c>
      <c r="E85" s="13"/>
      <c r="F85" s="13"/>
      <c r="G85" s="421"/>
      <c r="H85" s="422"/>
    </row>
    <row r="86" spans="1:8" s="316" customFormat="1" ht="46.5" customHeight="1">
      <c r="A86" s="45" t="s">
        <v>97</v>
      </c>
      <c r="B86" s="315" t="s">
        <v>443</v>
      </c>
      <c r="C86" s="33" t="s">
        <v>182</v>
      </c>
      <c r="D86" s="32" t="s">
        <v>183</v>
      </c>
      <c r="E86" s="33" t="s">
        <v>20</v>
      </c>
      <c r="F86" s="33">
        <v>1.56</v>
      </c>
      <c r="G86" s="425" t="s">
        <v>646</v>
      </c>
      <c r="H86" s="426"/>
    </row>
    <row r="87" spans="1:8" s="316" customFormat="1" ht="46.5" customHeight="1">
      <c r="A87" s="45" t="s">
        <v>98</v>
      </c>
      <c r="B87" s="315" t="s">
        <v>443</v>
      </c>
      <c r="C87" s="33" t="s">
        <v>86</v>
      </c>
      <c r="D87" s="32" t="s">
        <v>85</v>
      </c>
      <c r="E87" s="33" t="s">
        <v>20</v>
      </c>
      <c r="F87" s="52">
        <f>((6.27*6.5)+(4.05*6.5))*0.3</f>
        <v>20.123999999999999</v>
      </c>
      <c r="G87" s="425" t="s">
        <v>651</v>
      </c>
      <c r="H87" s="450"/>
    </row>
    <row r="88" spans="1:8" s="316" customFormat="1" ht="44.25" customHeight="1">
      <c r="A88" s="45" t="s">
        <v>99</v>
      </c>
      <c r="B88" s="315" t="s">
        <v>443</v>
      </c>
      <c r="C88" s="33" t="s">
        <v>92</v>
      </c>
      <c r="D88" s="32" t="s">
        <v>184</v>
      </c>
      <c r="E88" s="33" t="s">
        <v>21</v>
      </c>
      <c r="F88" s="52">
        <f>3*16</f>
        <v>48</v>
      </c>
      <c r="G88" s="425" t="s">
        <v>652</v>
      </c>
      <c r="H88" s="426"/>
    </row>
    <row r="89" spans="1:8" s="316" customFormat="1" ht="48" customHeight="1">
      <c r="A89" s="45" t="s">
        <v>100</v>
      </c>
      <c r="B89" s="315" t="s">
        <v>443</v>
      </c>
      <c r="C89" s="33" t="s">
        <v>130</v>
      </c>
      <c r="D89" s="32" t="s">
        <v>185</v>
      </c>
      <c r="E89" s="33" t="s">
        <v>20</v>
      </c>
      <c r="F89" s="52">
        <f>(0.2*0.2*0.5)*16</f>
        <v>0.32000000000000006</v>
      </c>
      <c r="G89" s="425" t="s">
        <v>653</v>
      </c>
      <c r="H89" s="426"/>
    </row>
    <row r="90" spans="1:8" s="316" customFormat="1" ht="45" customHeight="1">
      <c r="A90" s="45" t="s">
        <v>101</v>
      </c>
      <c r="B90" s="315" t="s">
        <v>443</v>
      </c>
      <c r="C90" s="33" t="s">
        <v>130</v>
      </c>
      <c r="D90" s="32" t="s">
        <v>135</v>
      </c>
      <c r="E90" s="33" t="s">
        <v>20</v>
      </c>
      <c r="F90" s="52">
        <f>(0.2*0.25)*(6.5*4)</f>
        <v>1.3</v>
      </c>
      <c r="G90" s="425" t="s">
        <v>654</v>
      </c>
      <c r="H90" s="426"/>
    </row>
    <row r="91" spans="1:8" s="316" customFormat="1" ht="36" customHeight="1">
      <c r="A91" s="45" t="s">
        <v>104</v>
      </c>
      <c r="B91" s="315" t="s">
        <v>443</v>
      </c>
      <c r="C91" s="33" t="s">
        <v>36</v>
      </c>
      <c r="D91" s="32" t="s">
        <v>186</v>
      </c>
      <c r="E91" s="33" t="s">
        <v>134</v>
      </c>
      <c r="F91" s="52">
        <f>1.3*90*0.8</f>
        <v>93.600000000000009</v>
      </c>
      <c r="G91" s="425" t="s">
        <v>655</v>
      </c>
      <c r="H91" s="426"/>
    </row>
    <row r="92" spans="1:8" s="316" customFormat="1" ht="31.5" customHeight="1">
      <c r="A92" s="45" t="s">
        <v>187</v>
      </c>
      <c r="B92" s="315" t="s">
        <v>443</v>
      </c>
      <c r="C92" s="33" t="s">
        <v>37</v>
      </c>
      <c r="D92" s="32" t="s">
        <v>188</v>
      </c>
      <c r="E92" s="33" t="s">
        <v>134</v>
      </c>
      <c r="F92" s="52">
        <f>1.3*90*0.2</f>
        <v>23.400000000000002</v>
      </c>
      <c r="G92" s="425" t="s">
        <v>656</v>
      </c>
      <c r="H92" s="426"/>
    </row>
    <row r="93" spans="1:8" s="316" customFormat="1" ht="34.5" customHeight="1">
      <c r="A93" s="45" t="s">
        <v>189</v>
      </c>
      <c r="B93" s="315" t="s">
        <v>443</v>
      </c>
      <c r="C93" s="33" t="s">
        <v>80</v>
      </c>
      <c r="D93" s="32" t="s">
        <v>594</v>
      </c>
      <c r="E93" s="33" t="s">
        <v>20</v>
      </c>
      <c r="F93" s="52">
        <f>0.32+1.3</f>
        <v>1.62</v>
      </c>
      <c r="G93" s="425" t="s">
        <v>657</v>
      </c>
      <c r="H93" s="426"/>
    </row>
    <row r="94" spans="1:8" s="316" customFormat="1" ht="45" customHeight="1">
      <c r="A94" s="45" t="s">
        <v>190</v>
      </c>
      <c r="B94" s="315" t="s">
        <v>443</v>
      </c>
      <c r="C94" s="33" t="s">
        <v>90</v>
      </c>
      <c r="D94" s="32" t="s">
        <v>89</v>
      </c>
      <c r="E94" s="33" t="s">
        <v>19</v>
      </c>
      <c r="F94" s="52">
        <f>(6.5*0.25*4)+(0.32)</f>
        <v>6.82</v>
      </c>
      <c r="G94" s="425" t="s">
        <v>658</v>
      </c>
      <c r="H94" s="426"/>
    </row>
    <row r="95" spans="1:8" s="316" customFormat="1" ht="58.5" customHeight="1">
      <c r="A95" s="45" t="s">
        <v>191</v>
      </c>
      <c r="B95" s="315" t="s">
        <v>443</v>
      </c>
      <c r="C95" s="33" t="s">
        <v>88</v>
      </c>
      <c r="D95" s="32" t="s">
        <v>87</v>
      </c>
      <c r="E95" s="33" t="s">
        <v>20</v>
      </c>
      <c r="F95" s="52">
        <f>((251.36*0.03)+((6.5*4*0.2)*0.03))</f>
        <v>7.6967999999999996</v>
      </c>
      <c r="G95" s="425" t="s">
        <v>659</v>
      </c>
      <c r="H95" s="426"/>
    </row>
    <row r="96" spans="1:8" s="316" customFormat="1" ht="32.25" customHeight="1">
      <c r="A96" s="45" t="s">
        <v>414</v>
      </c>
      <c r="B96" s="315" t="s">
        <v>443</v>
      </c>
      <c r="C96" s="33" t="s">
        <v>108</v>
      </c>
      <c r="D96" s="317" t="s">
        <v>794</v>
      </c>
      <c r="E96" s="33" t="s">
        <v>19</v>
      </c>
      <c r="F96" s="52">
        <f>(6.5*0.5*4)/2</f>
        <v>6.5</v>
      </c>
      <c r="G96" s="425" t="s">
        <v>793</v>
      </c>
      <c r="H96" s="426"/>
    </row>
    <row r="97" spans="1:8" s="316" customFormat="1" ht="33" customHeight="1">
      <c r="A97" s="45" t="s">
        <v>533</v>
      </c>
      <c r="B97" s="315" t="s">
        <v>443</v>
      </c>
      <c r="C97" s="33" t="s">
        <v>170</v>
      </c>
      <c r="D97" s="32" t="s">
        <v>795</v>
      </c>
      <c r="E97" s="33" t="s">
        <v>19</v>
      </c>
      <c r="F97" s="52">
        <v>6.5</v>
      </c>
      <c r="G97" s="425" t="s">
        <v>793</v>
      </c>
      <c r="H97" s="426"/>
    </row>
    <row r="98" spans="1:8" s="316" customFormat="1" ht="33.75" customHeight="1">
      <c r="A98" s="45" t="s">
        <v>534</v>
      </c>
      <c r="B98" s="315" t="s">
        <v>443</v>
      </c>
      <c r="C98" s="33" t="s">
        <v>175</v>
      </c>
      <c r="D98" s="32" t="s">
        <v>796</v>
      </c>
      <c r="E98" s="33" t="s">
        <v>19</v>
      </c>
      <c r="F98" s="52">
        <v>6.5</v>
      </c>
      <c r="G98" s="425" t="s">
        <v>793</v>
      </c>
      <c r="H98" s="426"/>
    </row>
    <row r="99" spans="1:8" s="316" customFormat="1" ht="44.25" customHeight="1">
      <c r="A99" s="45" t="s">
        <v>535</v>
      </c>
      <c r="B99" s="315" t="s">
        <v>443</v>
      </c>
      <c r="C99" s="33" t="s">
        <v>192</v>
      </c>
      <c r="D99" s="169" t="s">
        <v>193</v>
      </c>
      <c r="E99" s="33" t="s">
        <v>19</v>
      </c>
      <c r="F99" s="52">
        <f>(6.5*4.05)+(6.5*6.27)</f>
        <v>67.08</v>
      </c>
      <c r="G99" s="425" t="s">
        <v>881</v>
      </c>
      <c r="H99" s="426"/>
    </row>
    <row r="100" spans="1:8" s="316" customFormat="1" ht="44.25" customHeight="1">
      <c r="A100" s="45" t="s">
        <v>536</v>
      </c>
      <c r="B100" s="315" t="s">
        <v>443</v>
      </c>
      <c r="C100" s="45" t="s">
        <v>884</v>
      </c>
      <c r="D100" s="169" t="s">
        <v>889</v>
      </c>
      <c r="E100" s="33" t="s">
        <v>19</v>
      </c>
      <c r="F100" s="52">
        <f>53.08+8.62</f>
        <v>61.699999999999996</v>
      </c>
      <c r="G100" s="425" t="s">
        <v>891</v>
      </c>
      <c r="H100" s="426"/>
    </row>
    <row r="101" spans="1:8" s="316" customFormat="1" ht="44.25" customHeight="1">
      <c r="A101" s="45" t="s">
        <v>537</v>
      </c>
      <c r="B101" s="315" t="s">
        <v>443</v>
      </c>
      <c r="C101" s="45" t="s">
        <v>883</v>
      </c>
      <c r="D101" s="169" t="s">
        <v>890</v>
      </c>
      <c r="E101" s="33" t="s">
        <v>20</v>
      </c>
      <c r="F101" s="52">
        <f>(53.08+8.62)*0.05</f>
        <v>3.085</v>
      </c>
      <c r="G101" s="425" t="s">
        <v>892</v>
      </c>
      <c r="H101" s="426"/>
    </row>
    <row r="102" spans="1:8" s="316" customFormat="1" ht="41.25" customHeight="1">
      <c r="A102" s="45" t="s">
        <v>538</v>
      </c>
      <c r="B102" s="315" t="s">
        <v>443</v>
      </c>
      <c r="C102" s="45" t="s">
        <v>888</v>
      </c>
      <c r="D102" s="169" t="s">
        <v>887</v>
      </c>
      <c r="E102" s="33" t="s">
        <v>20</v>
      </c>
      <c r="F102" s="52">
        <f>100.3*0.06</f>
        <v>6.0179999999999998</v>
      </c>
      <c r="G102" s="425" t="s">
        <v>893</v>
      </c>
      <c r="H102" s="426"/>
    </row>
    <row r="103" spans="1:8" ht="8.25" customHeight="1">
      <c r="A103" s="30"/>
      <c r="B103" s="128"/>
      <c r="C103" s="7"/>
      <c r="D103" s="63"/>
      <c r="E103" s="7"/>
      <c r="F103" s="18"/>
      <c r="G103" s="376"/>
      <c r="H103" s="377"/>
    </row>
    <row r="104" spans="1:8">
      <c r="A104" s="42">
        <v>9</v>
      </c>
      <c r="B104" s="130"/>
      <c r="C104" s="13"/>
      <c r="D104" s="11" t="s">
        <v>194</v>
      </c>
      <c r="E104" s="13"/>
      <c r="F104" s="13"/>
      <c r="G104" s="421"/>
      <c r="H104" s="422"/>
    </row>
    <row r="105" spans="1:8" s="316" customFormat="1" ht="35.25" customHeight="1">
      <c r="A105" s="45" t="s">
        <v>102</v>
      </c>
      <c r="B105" s="315" t="s">
        <v>443</v>
      </c>
      <c r="C105" s="33" t="s">
        <v>195</v>
      </c>
      <c r="D105" s="317" t="s">
        <v>196</v>
      </c>
      <c r="E105" s="33" t="s">
        <v>19</v>
      </c>
      <c r="F105" s="52">
        <f>1.5*2.2</f>
        <v>3.3000000000000003</v>
      </c>
      <c r="G105" s="425" t="s">
        <v>662</v>
      </c>
      <c r="H105" s="426"/>
    </row>
    <row r="106" spans="1:8" s="316" customFormat="1" ht="46.5" customHeight="1">
      <c r="A106" s="45" t="s">
        <v>103</v>
      </c>
      <c r="B106" s="315" t="s">
        <v>443</v>
      </c>
      <c r="C106" s="45" t="s">
        <v>607</v>
      </c>
      <c r="D106" s="324" t="s">
        <v>606</v>
      </c>
      <c r="E106" s="33" t="s">
        <v>19</v>
      </c>
      <c r="F106" s="52">
        <v>0.92</v>
      </c>
      <c r="G106" s="425" t="s">
        <v>661</v>
      </c>
      <c r="H106" s="426"/>
    </row>
    <row r="107" spans="1:8" ht="7.5" customHeight="1">
      <c r="A107" s="30"/>
      <c r="B107" s="128"/>
      <c r="C107" s="68"/>
      <c r="D107" s="63"/>
      <c r="E107" s="7"/>
      <c r="F107" s="18"/>
      <c r="G107" s="376"/>
      <c r="H107" s="377"/>
    </row>
    <row r="108" spans="1:8">
      <c r="A108" s="42">
        <v>10</v>
      </c>
      <c r="B108" s="130"/>
      <c r="C108" s="13"/>
      <c r="D108" s="8" t="s">
        <v>197</v>
      </c>
      <c r="E108" s="13"/>
      <c r="F108" s="13"/>
      <c r="G108" s="421"/>
      <c r="H108" s="422"/>
    </row>
    <row r="109" spans="1:8" s="316" customFormat="1" ht="35.25" customHeight="1">
      <c r="A109" s="45" t="s">
        <v>198</v>
      </c>
      <c r="B109" s="315" t="s">
        <v>443</v>
      </c>
      <c r="C109" s="325" t="s">
        <v>199</v>
      </c>
      <c r="D109" s="320" t="s">
        <v>200</v>
      </c>
      <c r="E109" s="33" t="s">
        <v>19</v>
      </c>
      <c r="F109" s="52">
        <f>(0.3*4*2*13)+(0.3*(28.51+7.66)*2)</f>
        <v>52.902000000000001</v>
      </c>
      <c r="G109" s="425" t="s">
        <v>875</v>
      </c>
      <c r="H109" s="426"/>
    </row>
    <row r="110" spans="1:8" s="316" customFormat="1" ht="43.5" customHeight="1">
      <c r="A110" s="45" t="s">
        <v>201</v>
      </c>
      <c r="B110" s="315" t="s">
        <v>443</v>
      </c>
      <c r="C110" s="33" t="s">
        <v>202</v>
      </c>
      <c r="D110" s="55" t="s">
        <v>203</v>
      </c>
      <c r="E110" s="33" t="s">
        <v>19</v>
      </c>
      <c r="F110" s="52">
        <f>F54*2</f>
        <v>158.07999999999998</v>
      </c>
      <c r="G110" s="425" t="s">
        <v>897</v>
      </c>
      <c r="H110" s="426"/>
    </row>
    <row r="111" spans="1:8" s="316" customFormat="1" ht="45.75" customHeight="1">
      <c r="A111" s="45" t="s">
        <v>204</v>
      </c>
      <c r="B111" s="315" t="s">
        <v>443</v>
      </c>
      <c r="C111" s="33" t="s">
        <v>50</v>
      </c>
      <c r="D111" s="34" t="s">
        <v>205</v>
      </c>
      <c r="E111" s="33" t="s">
        <v>19</v>
      </c>
      <c r="F111" s="52">
        <f>((8.14*2*0.18)+(8.64*0.12))*11</f>
        <v>43.639200000000002</v>
      </c>
      <c r="G111" s="425" t="s">
        <v>876</v>
      </c>
      <c r="H111" s="426"/>
    </row>
    <row r="112" spans="1:8" s="316" customFormat="1" ht="43.5" customHeight="1">
      <c r="A112" s="45" t="s">
        <v>206</v>
      </c>
      <c r="B112" s="315" t="s">
        <v>443</v>
      </c>
      <c r="C112" s="33" t="s">
        <v>50</v>
      </c>
      <c r="D112" s="34" t="s">
        <v>207</v>
      </c>
      <c r="E112" s="33" t="s">
        <v>19</v>
      </c>
      <c r="F112" s="52">
        <f>((9.7*4)+(8.4+0.65))*0.12*2</f>
        <v>11.483999999999998</v>
      </c>
      <c r="G112" s="425" t="s">
        <v>663</v>
      </c>
      <c r="H112" s="426"/>
    </row>
    <row r="113" spans="1:8" s="316" customFormat="1" ht="33" customHeight="1">
      <c r="A113" s="45" t="s">
        <v>208</v>
      </c>
      <c r="B113" s="315" t="s">
        <v>443</v>
      </c>
      <c r="C113" s="33" t="s">
        <v>50</v>
      </c>
      <c r="D113" s="34" t="s">
        <v>209</v>
      </c>
      <c r="E113" s="33" t="s">
        <v>19</v>
      </c>
      <c r="F113" s="52">
        <f>1.5*2.2</f>
        <v>3.3000000000000003</v>
      </c>
      <c r="G113" s="425" t="s">
        <v>664</v>
      </c>
      <c r="H113" s="426"/>
    </row>
    <row r="114" spans="1:8" s="316" customFormat="1">
      <c r="A114" s="45" t="s">
        <v>210</v>
      </c>
      <c r="B114" s="315" t="s">
        <v>443</v>
      </c>
      <c r="C114" s="33" t="s">
        <v>211</v>
      </c>
      <c r="D114" s="34" t="s">
        <v>212</v>
      </c>
      <c r="E114" s="33" t="s">
        <v>19</v>
      </c>
      <c r="F114" s="52">
        <f>31.895*1.5</f>
        <v>47.842500000000001</v>
      </c>
      <c r="G114" s="438" t="s">
        <v>894</v>
      </c>
      <c r="H114" s="439"/>
    </row>
    <row r="115" spans="1:8" ht="8.25" customHeight="1">
      <c r="A115" s="30"/>
      <c r="B115" s="128"/>
      <c r="C115" s="7"/>
      <c r="D115" s="66"/>
      <c r="E115" s="7"/>
      <c r="F115" s="18"/>
      <c r="G115" s="376"/>
      <c r="H115" s="377"/>
    </row>
    <row r="116" spans="1:8">
      <c r="A116" s="42">
        <v>11</v>
      </c>
      <c r="B116" s="131"/>
      <c r="C116" s="13"/>
      <c r="D116" s="8" t="s">
        <v>214</v>
      </c>
      <c r="E116" s="13"/>
      <c r="F116" s="13"/>
      <c r="G116" s="421"/>
      <c r="H116" s="422"/>
    </row>
    <row r="117" spans="1:8" s="316" customFormat="1" ht="44.25" customHeight="1">
      <c r="A117" s="45" t="s">
        <v>9</v>
      </c>
      <c r="B117" s="315" t="s">
        <v>443</v>
      </c>
      <c r="C117" s="33" t="s">
        <v>215</v>
      </c>
      <c r="D117" s="323" t="s">
        <v>448</v>
      </c>
      <c r="E117" s="33" t="s">
        <v>21</v>
      </c>
      <c r="F117" s="52">
        <f>(6.5*4)+(0.65)</f>
        <v>26.65</v>
      </c>
      <c r="G117" s="425" t="s">
        <v>665</v>
      </c>
      <c r="H117" s="426"/>
    </row>
    <row r="118" spans="1:8" s="316" customFormat="1" ht="29.25" customHeight="1">
      <c r="A118" s="45" t="s">
        <v>38</v>
      </c>
      <c r="B118" s="315" t="s">
        <v>443</v>
      </c>
      <c r="C118" s="33" t="s">
        <v>217</v>
      </c>
      <c r="D118" s="195" t="s">
        <v>218</v>
      </c>
      <c r="E118" s="33" t="s">
        <v>219</v>
      </c>
      <c r="F118" s="52">
        <v>1</v>
      </c>
      <c r="G118" s="436" t="s">
        <v>666</v>
      </c>
      <c r="H118" s="437"/>
    </row>
    <row r="119" spans="1:8" ht="7.5" customHeight="1">
      <c r="A119" s="30"/>
      <c r="B119" s="127"/>
      <c r="C119" s="7"/>
      <c r="D119" s="66"/>
      <c r="E119" s="7"/>
      <c r="F119" s="7"/>
      <c r="G119" s="376"/>
      <c r="H119" s="377"/>
    </row>
    <row r="120" spans="1:8">
      <c r="A120" s="42">
        <v>12</v>
      </c>
      <c r="B120" s="130"/>
      <c r="C120" s="13"/>
      <c r="D120" s="8" t="s">
        <v>221</v>
      </c>
      <c r="E120" s="13"/>
      <c r="F120" s="13"/>
      <c r="G120" s="421"/>
      <c r="H120" s="422"/>
    </row>
    <row r="121" spans="1:8" s="316" customFormat="1" ht="44.25" customHeight="1">
      <c r="A121" s="45" t="s">
        <v>222</v>
      </c>
      <c r="B121" s="315" t="s">
        <v>443</v>
      </c>
      <c r="C121" s="33" t="s">
        <v>223</v>
      </c>
      <c r="D121" s="34" t="s">
        <v>224</v>
      </c>
      <c r="E121" s="33" t="s">
        <v>21</v>
      </c>
      <c r="F121" s="52">
        <f>(24.95+3.75+2.8)</f>
        <v>31.5</v>
      </c>
      <c r="G121" s="425" t="s">
        <v>667</v>
      </c>
      <c r="H121" s="426"/>
    </row>
    <row r="122" spans="1:8" s="316" customFormat="1" ht="50.25" customHeight="1">
      <c r="A122" s="45" t="s">
        <v>225</v>
      </c>
      <c r="B122" s="315" t="s">
        <v>443</v>
      </c>
      <c r="C122" s="325" t="s">
        <v>60</v>
      </c>
      <c r="D122" s="320" t="s">
        <v>59</v>
      </c>
      <c r="E122" s="33" t="s">
        <v>21</v>
      </c>
      <c r="F122" s="52">
        <f>((29.36)+(3.2*3)+(3.2*3)+(25))*3</f>
        <v>220.68</v>
      </c>
      <c r="G122" s="425" t="s">
        <v>753</v>
      </c>
      <c r="H122" s="426"/>
    </row>
    <row r="123" spans="1:8" s="316" customFormat="1" ht="45" customHeight="1">
      <c r="A123" s="45" t="s">
        <v>226</v>
      </c>
      <c r="B123" s="315" t="s">
        <v>443</v>
      </c>
      <c r="C123" s="325" t="s">
        <v>43</v>
      </c>
      <c r="D123" s="320" t="s">
        <v>42</v>
      </c>
      <c r="E123" s="33" t="s">
        <v>21</v>
      </c>
      <c r="F123" s="52">
        <f>(16.95+5.56)*3</f>
        <v>67.53</v>
      </c>
      <c r="G123" s="425" t="s">
        <v>751</v>
      </c>
      <c r="H123" s="426"/>
    </row>
    <row r="124" spans="1:8" s="316" customFormat="1" ht="29.25">
      <c r="A124" s="45" t="s">
        <v>227</v>
      </c>
      <c r="B124" s="315" t="s">
        <v>443</v>
      </c>
      <c r="C124" s="325" t="s">
        <v>228</v>
      </c>
      <c r="D124" s="320" t="s">
        <v>229</v>
      </c>
      <c r="E124" s="33" t="s">
        <v>21</v>
      </c>
      <c r="F124" s="52">
        <f>(11.4+3.3)*3</f>
        <v>44.099999999999994</v>
      </c>
      <c r="G124" s="425" t="s">
        <v>755</v>
      </c>
      <c r="H124" s="426"/>
    </row>
    <row r="125" spans="1:8" s="316" customFormat="1">
      <c r="A125" s="45" t="s">
        <v>230</v>
      </c>
      <c r="B125" s="315" t="s">
        <v>443</v>
      </c>
      <c r="C125" s="325" t="s">
        <v>231</v>
      </c>
      <c r="D125" s="320" t="s">
        <v>232</v>
      </c>
      <c r="E125" s="33" t="s">
        <v>39</v>
      </c>
      <c r="F125" s="52">
        <v>1</v>
      </c>
      <c r="G125" s="432" t="s">
        <v>668</v>
      </c>
      <c r="H125" s="433"/>
    </row>
    <row r="126" spans="1:8" s="316" customFormat="1" ht="31.5" customHeight="1">
      <c r="A126" s="45" t="s">
        <v>233</v>
      </c>
      <c r="B126" s="315" t="s">
        <v>443</v>
      </c>
      <c r="C126" s="325" t="s">
        <v>234</v>
      </c>
      <c r="D126" s="320" t="s">
        <v>235</v>
      </c>
      <c r="E126" s="33" t="s">
        <v>21</v>
      </c>
      <c r="F126" s="52">
        <f>(3.6*5)+7</f>
        <v>25</v>
      </c>
      <c r="G126" s="436" t="s">
        <v>752</v>
      </c>
      <c r="H126" s="437"/>
    </row>
    <row r="127" spans="1:8" s="316" customFormat="1">
      <c r="A127" s="45" t="s">
        <v>236</v>
      </c>
      <c r="B127" s="315" t="s">
        <v>443</v>
      </c>
      <c r="C127" s="325" t="s">
        <v>237</v>
      </c>
      <c r="D127" s="320" t="s">
        <v>238</v>
      </c>
      <c r="E127" s="33" t="s">
        <v>21</v>
      </c>
      <c r="F127" s="52">
        <v>3</v>
      </c>
      <c r="G127" s="432" t="s">
        <v>668</v>
      </c>
      <c r="H127" s="433"/>
    </row>
    <row r="128" spans="1:8" s="316" customFormat="1">
      <c r="A128" s="45" t="s">
        <v>239</v>
      </c>
      <c r="B128" s="315" t="s">
        <v>443</v>
      </c>
      <c r="C128" s="325" t="s">
        <v>240</v>
      </c>
      <c r="D128" s="320" t="s">
        <v>241</v>
      </c>
      <c r="E128" s="33" t="s">
        <v>242</v>
      </c>
      <c r="F128" s="52">
        <v>5</v>
      </c>
      <c r="G128" s="432" t="s">
        <v>669</v>
      </c>
      <c r="H128" s="433"/>
    </row>
    <row r="129" spans="1:8" s="316" customFormat="1">
      <c r="A129" s="45" t="s">
        <v>243</v>
      </c>
      <c r="B129" s="315" t="s">
        <v>443</v>
      </c>
      <c r="C129" s="325" t="s">
        <v>244</v>
      </c>
      <c r="D129" s="320" t="s">
        <v>245</v>
      </c>
      <c r="E129" s="33" t="s">
        <v>39</v>
      </c>
      <c r="F129" s="52">
        <v>4</v>
      </c>
      <c r="G129" s="432" t="s">
        <v>669</v>
      </c>
      <c r="H129" s="433"/>
    </row>
    <row r="130" spans="1:8" s="316" customFormat="1" ht="30" customHeight="1">
      <c r="A130" s="45" t="s">
        <v>246</v>
      </c>
      <c r="B130" s="315" t="s">
        <v>443</v>
      </c>
      <c r="C130" s="325" t="s">
        <v>247</v>
      </c>
      <c r="D130" s="320" t="s">
        <v>248</v>
      </c>
      <c r="E130" s="33" t="s">
        <v>48</v>
      </c>
      <c r="F130" s="52">
        <v>2</v>
      </c>
      <c r="G130" s="436" t="s">
        <v>670</v>
      </c>
      <c r="H130" s="437"/>
    </row>
    <row r="131" spans="1:8" s="316" customFormat="1" ht="30" customHeight="1">
      <c r="A131" s="45" t="s">
        <v>249</v>
      </c>
      <c r="B131" s="315" t="s">
        <v>443</v>
      </c>
      <c r="C131" s="325" t="s">
        <v>690</v>
      </c>
      <c r="D131" s="320" t="s">
        <v>689</v>
      </c>
      <c r="E131" s="33" t="s">
        <v>48</v>
      </c>
      <c r="F131" s="52">
        <v>1</v>
      </c>
      <c r="G131" s="436" t="s">
        <v>692</v>
      </c>
      <c r="H131" s="437"/>
    </row>
    <row r="132" spans="1:8" s="316" customFormat="1">
      <c r="A132" s="45" t="s">
        <v>252</v>
      </c>
      <c r="B132" s="315" t="s">
        <v>443</v>
      </c>
      <c r="C132" s="325" t="s">
        <v>250</v>
      </c>
      <c r="D132" s="320" t="s">
        <v>251</v>
      </c>
      <c r="E132" s="33" t="s">
        <v>48</v>
      </c>
      <c r="F132" s="52">
        <v>4</v>
      </c>
      <c r="G132" s="432" t="s">
        <v>671</v>
      </c>
      <c r="H132" s="433"/>
    </row>
    <row r="133" spans="1:8" s="316" customFormat="1">
      <c r="A133" s="45" t="s">
        <v>253</v>
      </c>
      <c r="B133" s="315" t="s">
        <v>443</v>
      </c>
      <c r="C133" s="325" t="s">
        <v>46</v>
      </c>
      <c r="D133" s="320" t="s">
        <v>45</v>
      </c>
      <c r="E133" s="33" t="s">
        <v>254</v>
      </c>
      <c r="F133" s="52">
        <v>5</v>
      </c>
      <c r="G133" s="432" t="s">
        <v>672</v>
      </c>
      <c r="H133" s="433"/>
    </row>
    <row r="134" spans="1:8" s="316" customFormat="1" ht="55.5" customHeight="1">
      <c r="A134" s="45" t="s">
        <v>255</v>
      </c>
      <c r="B134" s="315" t="s">
        <v>443</v>
      </c>
      <c r="C134" s="325" t="s">
        <v>256</v>
      </c>
      <c r="D134" s="320" t="s">
        <v>257</v>
      </c>
      <c r="E134" s="33" t="s">
        <v>21</v>
      </c>
      <c r="F134" s="52">
        <f>11.4+9.4+25</f>
        <v>45.8</v>
      </c>
      <c r="G134" s="436" t="s">
        <v>754</v>
      </c>
      <c r="H134" s="437"/>
    </row>
    <row r="135" spans="1:8" s="316" customFormat="1" ht="28.5" customHeight="1">
      <c r="A135" s="45" t="s">
        <v>258</v>
      </c>
      <c r="B135" s="315" t="s">
        <v>443</v>
      </c>
      <c r="C135" s="325" t="s">
        <v>259</v>
      </c>
      <c r="D135" s="320" t="s">
        <v>260</v>
      </c>
      <c r="E135" s="33" t="s">
        <v>254</v>
      </c>
      <c r="F135" s="52">
        <v>5</v>
      </c>
      <c r="G135" s="436" t="s">
        <v>673</v>
      </c>
      <c r="H135" s="437"/>
    </row>
    <row r="136" spans="1:8" s="316" customFormat="1">
      <c r="A136" s="45" t="s">
        <v>261</v>
      </c>
      <c r="B136" s="315" t="s">
        <v>443</v>
      </c>
      <c r="C136" s="325" t="s">
        <v>262</v>
      </c>
      <c r="D136" s="320" t="s">
        <v>263</v>
      </c>
      <c r="E136" s="33" t="s">
        <v>254</v>
      </c>
      <c r="F136" s="52">
        <v>5</v>
      </c>
      <c r="G136" s="432" t="s">
        <v>672</v>
      </c>
      <c r="H136" s="433"/>
    </row>
    <row r="137" spans="1:8" s="316" customFormat="1" ht="28.5" customHeight="1">
      <c r="A137" s="45" t="s">
        <v>264</v>
      </c>
      <c r="B137" s="315" t="s">
        <v>443</v>
      </c>
      <c r="C137" s="325" t="s">
        <v>265</v>
      </c>
      <c r="D137" s="320" t="s">
        <v>266</v>
      </c>
      <c r="E137" s="33" t="s">
        <v>254</v>
      </c>
      <c r="F137" s="52">
        <v>2</v>
      </c>
      <c r="G137" s="436" t="s">
        <v>674</v>
      </c>
      <c r="H137" s="437"/>
    </row>
    <row r="138" spans="1:8" s="316" customFormat="1">
      <c r="A138" s="45" t="s">
        <v>691</v>
      </c>
      <c r="B138" s="315" t="s">
        <v>443</v>
      </c>
      <c r="C138" s="325" t="s">
        <v>262</v>
      </c>
      <c r="D138" s="320" t="s">
        <v>267</v>
      </c>
      <c r="E138" s="33" t="s">
        <v>254</v>
      </c>
      <c r="F138" s="52">
        <v>2</v>
      </c>
      <c r="G138" s="432" t="s">
        <v>675</v>
      </c>
      <c r="H138" s="433"/>
    </row>
    <row r="139" spans="1:8" ht="7.5" customHeight="1">
      <c r="A139" s="30"/>
      <c r="B139" s="128"/>
      <c r="C139" s="68"/>
      <c r="D139" s="66"/>
      <c r="E139" s="7"/>
      <c r="F139" s="7"/>
      <c r="G139" s="376"/>
      <c r="H139" s="377"/>
    </row>
    <row r="140" spans="1:8">
      <c r="A140" s="42">
        <v>13</v>
      </c>
      <c r="B140" s="130"/>
      <c r="C140" s="13"/>
      <c r="D140" s="70" t="s">
        <v>269</v>
      </c>
      <c r="E140" s="13"/>
      <c r="F140" s="13"/>
      <c r="G140" s="421"/>
      <c r="H140" s="422"/>
    </row>
    <row r="141" spans="1:8" s="316" customFormat="1" ht="45" customHeight="1">
      <c r="A141" s="45" t="s">
        <v>270</v>
      </c>
      <c r="B141" s="315" t="s">
        <v>443</v>
      </c>
      <c r="C141" s="45" t="s">
        <v>271</v>
      </c>
      <c r="D141" s="321" t="s">
        <v>272</v>
      </c>
      <c r="E141" s="45" t="s">
        <v>21</v>
      </c>
      <c r="F141" s="117">
        <f>(8*2)+(5.25*3)+16.55</f>
        <v>48.3</v>
      </c>
      <c r="G141" s="446" t="s">
        <v>676</v>
      </c>
      <c r="H141" s="447"/>
    </row>
    <row r="142" spans="1:8" s="316" customFormat="1" ht="33.75" customHeight="1">
      <c r="A142" s="45" t="s">
        <v>273</v>
      </c>
      <c r="B142" s="315" t="s">
        <v>443</v>
      </c>
      <c r="C142" s="45" t="s">
        <v>275</v>
      </c>
      <c r="D142" s="321" t="s">
        <v>451</v>
      </c>
      <c r="E142" s="45" t="s">
        <v>21</v>
      </c>
      <c r="F142" s="117">
        <f>1.42+1.1+5.83+13.15</f>
        <v>21.5</v>
      </c>
      <c r="G142" s="434" t="s">
        <v>681</v>
      </c>
      <c r="H142" s="435"/>
    </row>
    <row r="143" spans="1:8" s="316" customFormat="1">
      <c r="A143" s="45" t="s">
        <v>415</v>
      </c>
      <c r="B143" s="315" t="s">
        <v>443</v>
      </c>
      <c r="C143" s="322" t="s">
        <v>797</v>
      </c>
      <c r="D143" s="321" t="s">
        <v>455</v>
      </c>
      <c r="E143" s="45" t="s">
        <v>39</v>
      </c>
      <c r="F143" s="52">
        <v>2</v>
      </c>
      <c r="G143" s="448" t="s">
        <v>679</v>
      </c>
      <c r="H143" s="449"/>
    </row>
    <row r="144" spans="1:8" s="316" customFormat="1" ht="39" customHeight="1">
      <c r="A144" s="45" t="s">
        <v>274</v>
      </c>
      <c r="B144" s="315" t="s">
        <v>443</v>
      </c>
      <c r="C144" s="45" t="s">
        <v>278</v>
      </c>
      <c r="D144" s="321" t="s">
        <v>452</v>
      </c>
      <c r="E144" s="45" t="s">
        <v>39</v>
      </c>
      <c r="F144" s="52">
        <v>1</v>
      </c>
      <c r="G144" s="434" t="s">
        <v>680</v>
      </c>
      <c r="H144" s="435"/>
    </row>
    <row r="145" spans="1:8" s="316" customFormat="1" ht="29.25" customHeight="1">
      <c r="A145" s="45" t="s">
        <v>276</v>
      </c>
      <c r="B145" s="315" t="s">
        <v>443</v>
      </c>
      <c r="C145" s="45" t="s">
        <v>280</v>
      </c>
      <c r="D145" s="321" t="s">
        <v>456</v>
      </c>
      <c r="E145" s="45" t="s">
        <v>39</v>
      </c>
      <c r="F145" s="52">
        <v>1</v>
      </c>
      <c r="G145" s="434" t="s">
        <v>682</v>
      </c>
      <c r="H145" s="435"/>
    </row>
    <row r="146" spans="1:8" s="316" customFormat="1" ht="29.25" customHeight="1">
      <c r="A146" s="45" t="s">
        <v>277</v>
      </c>
      <c r="B146" s="315" t="s">
        <v>443</v>
      </c>
      <c r="C146" s="45" t="s">
        <v>282</v>
      </c>
      <c r="D146" s="321" t="s">
        <v>453</v>
      </c>
      <c r="E146" s="45" t="s">
        <v>19</v>
      </c>
      <c r="F146" s="52">
        <v>0.5</v>
      </c>
      <c r="G146" s="434" t="s">
        <v>683</v>
      </c>
      <c r="H146" s="435"/>
    </row>
    <row r="147" spans="1:8" s="316" customFormat="1" ht="27.75" customHeight="1">
      <c r="A147" s="45" t="s">
        <v>279</v>
      </c>
      <c r="B147" s="315" t="s">
        <v>443</v>
      </c>
      <c r="C147" s="45" t="s">
        <v>284</v>
      </c>
      <c r="D147" s="321" t="s">
        <v>454</v>
      </c>
      <c r="E147" s="45" t="s">
        <v>39</v>
      </c>
      <c r="F147" s="52">
        <v>1</v>
      </c>
      <c r="G147" s="434" t="s">
        <v>684</v>
      </c>
      <c r="H147" s="435"/>
    </row>
    <row r="148" spans="1:8" s="316" customFormat="1" ht="32.25" customHeight="1">
      <c r="A148" s="45" t="s">
        <v>281</v>
      </c>
      <c r="B148" s="315" t="s">
        <v>443</v>
      </c>
      <c r="C148" s="45" t="s">
        <v>286</v>
      </c>
      <c r="D148" s="321" t="s">
        <v>287</v>
      </c>
      <c r="E148" s="45" t="s">
        <v>39</v>
      </c>
      <c r="F148" s="52">
        <v>1</v>
      </c>
      <c r="G148" s="434" t="s">
        <v>685</v>
      </c>
      <c r="H148" s="435"/>
    </row>
    <row r="149" spans="1:8" s="316" customFormat="1" ht="32.25" customHeight="1">
      <c r="A149" s="45" t="s">
        <v>283</v>
      </c>
      <c r="B149" s="315" t="s">
        <v>443</v>
      </c>
      <c r="C149" s="45" t="s">
        <v>609</v>
      </c>
      <c r="D149" s="321" t="s">
        <v>608</v>
      </c>
      <c r="E149" s="45" t="s">
        <v>39</v>
      </c>
      <c r="F149" s="52">
        <v>1</v>
      </c>
      <c r="G149" s="434" t="s">
        <v>686</v>
      </c>
      <c r="H149" s="435"/>
    </row>
    <row r="150" spans="1:8" s="316" customFormat="1" ht="32.25" customHeight="1">
      <c r="A150" s="45" t="s">
        <v>285</v>
      </c>
      <c r="B150" s="315" t="s">
        <v>443</v>
      </c>
      <c r="C150" s="45" t="s">
        <v>611</v>
      </c>
      <c r="D150" s="321" t="s">
        <v>610</v>
      </c>
      <c r="E150" s="45" t="s">
        <v>21</v>
      </c>
      <c r="F150" s="52">
        <f>6.75+2</f>
        <v>8.75</v>
      </c>
      <c r="G150" s="434" t="s">
        <v>693</v>
      </c>
      <c r="H150" s="435"/>
    </row>
    <row r="151" spans="1:8" s="316" customFormat="1" ht="32.25" customHeight="1">
      <c r="A151" s="45" t="s">
        <v>288</v>
      </c>
      <c r="B151" s="315" t="s">
        <v>443</v>
      </c>
      <c r="C151" s="45" t="s">
        <v>614</v>
      </c>
      <c r="D151" s="321" t="s">
        <v>613</v>
      </c>
      <c r="E151" s="45" t="s">
        <v>21</v>
      </c>
      <c r="F151" s="52">
        <f>28.5+3.05</f>
        <v>31.55</v>
      </c>
      <c r="G151" s="434" t="s">
        <v>877</v>
      </c>
      <c r="H151" s="435"/>
    </row>
    <row r="152" spans="1:8" s="316" customFormat="1" ht="50.25" customHeight="1">
      <c r="A152" s="45" t="s">
        <v>599</v>
      </c>
      <c r="B152" s="315" t="s">
        <v>443</v>
      </c>
      <c r="C152" s="45" t="s">
        <v>289</v>
      </c>
      <c r="D152" s="321" t="s">
        <v>290</v>
      </c>
      <c r="E152" s="45" t="s">
        <v>51</v>
      </c>
      <c r="F152" s="52">
        <f>(2.23*0.12*0.002*7850*6)+(20.71*0.12*0.002*7850)</f>
        <v>64.225560000000002</v>
      </c>
      <c r="G152" s="434" t="s">
        <v>798</v>
      </c>
      <c r="H152" s="435"/>
    </row>
    <row r="153" spans="1:8" s="316" customFormat="1" ht="28.5">
      <c r="A153" s="45" t="s">
        <v>600</v>
      </c>
      <c r="B153" s="315" t="s">
        <v>443</v>
      </c>
      <c r="C153" s="45" t="s">
        <v>291</v>
      </c>
      <c r="D153" s="321" t="s">
        <v>292</v>
      </c>
      <c r="E153" s="45" t="s">
        <v>19</v>
      </c>
      <c r="F153" s="52">
        <v>15.62</v>
      </c>
      <c r="G153" s="442" t="s">
        <v>687</v>
      </c>
      <c r="H153" s="443"/>
    </row>
    <row r="154" spans="1:8" s="316" customFormat="1" ht="33" customHeight="1">
      <c r="A154" s="45" t="s">
        <v>612</v>
      </c>
      <c r="B154" s="315" t="s">
        <v>443</v>
      </c>
      <c r="C154" s="45" t="s">
        <v>607</v>
      </c>
      <c r="D154" s="324" t="s">
        <v>606</v>
      </c>
      <c r="E154" s="33" t="s">
        <v>19</v>
      </c>
      <c r="F154" s="52">
        <f>0.8*0.8</f>
        <v>0.64000000000000012</v>
      </c>
      <c r="G154" s="434" t="s">
        <v>688</v>
      </c>
      <c r="H154" s="435"/>
    </row>
    <row r="155" spans="1:8" ht="8.25" customHeight="1">
      <c r="A155" s="30"/>
      <c r="B155" s="128"/>
      <c r="C155" s="7"/>
      <c r="D155" s="66"/>
      <c r="E155" s="7"/>
      <c r="F155" s="18"/>
      <c r="G155" s="444"/>
      <c r="H155" s="445"/>
    </row>
    <row r="156" spans="1:8">
      <c r="A156" s="42">
        <v>14</v>
      </c>
      <c r="B156" s="130"/>
      <c r="C156" s="13"/>
      <c r="D156" s="8" t="s">
        <v>294</v>
      </c>
      <c r="E156" s="13"/>
      <c r="F156" s="13"/>
      <c r="G156" s="430"/>
      <c r="H156" s="431"/>
    </row>
    <row r="157" spans="1:8" s="316" customFormat="1">
      <c r="A157" s="318" t="s">
        <v>295</v>
      </c>
      <c r="B157" s="315" t="s">
        <v>443</v>
      </c>
      <c r="C157" s="33" t="s">
        <v>296</v>
      </c>
      <c r="D157" s="319" t="s">
        <v>297</v>
      </c>
      <c r="E157" s="33" t="s">
        <v>39</v>
      </c>
      <c r="F157" s="52">
        <v>1</v>
      </c>
      <c r="G157" s="432" t="s">
        <v>719</v>
      </c>
      <c r="H157" s="433"/>
    </row>
    <row r="158" spans="1:8" s="316" customFormat="1">
      <c r="A158" s="318" t="s">
        <v>298</v>
      </c>
      <c r="B158" s="315" t="s">
        <v>443</v>
      </c>
      <c r="C158" s="33" t="s">
        <v>299</v>
      </c>
      <c r="D158" s="319" t="s">
        <v>300</v>
      </c>
      <c r="E158" s="33" t="s">
        <v>39</v>
      </c>
      <c r="F158" s="52">
        <v>1</v>
      </c>
      <c r="G158" s="432" t="s">
        <v>719</v>
      </c>
      <c r="H158" s="433"/>
    </row>
    <row r="159" spans="1:8" s="316" customFormat="1" ht="29.25">
      <c r="A159" s="318" t="s">
        <v>301</v>
      </c>
      <c r="B159" s="315" t="s">
        <v>443</v>
      </c>
      <c r="C159" s="33" t="s">
        <v>302</v>
      </c>
      <c r="D159" s="320" t="s">
        <v>303</v>
      </c>
      <c r="E159" s="33" t="s">
        <v>39</v>
      </c>
      <c r="F159" s="52">
        <v>1</v>
      </c>
      <c r="G159" s="434" t="s">
        <v>720</v>
      </c>
      <c r="H159" s="435"/>
    </row>
    <row r="160" spans="1:8" s="316" customFormat="1" ht="29.25">
      <c r="A160" s="318" t="s">
        <v>304</v>
      </c>
      <c r="B160" s="315" t="s">
        <v>443</v>
      </c>
      <c r="C160" s="33" t="s">
        <v>305</v>
      </c>
      <c r="D160" s="320" t="s">
        <v>306</v>
      </c>
      <c r="E160" s="33" t="s">
        <v>39</v>
      </c>
      <c r="F160" s="52">
        <v>2</v>
      </c>
      <c r="G160" s="436" t="s">
        <v>721</v>
      </c>
      <c r="H160" s="437"/>
    </row>
    <row r="161" spans="1:8" s="316" customFormat="1" ht="29.25">
      <c r="A161" s="318" t="s">
        <v>439</v>
      </c>
      <c r="B161" s="315" t="s">
        <v>443</v>
      </c>
      <c r="C161" s="33" t="s">
        <v>307</v>
      </c>
      <c r="D161" s="320" t="s">
        <v>308</v>
      </c>
      <c r="E161" s="33" t="s">
        <v>19</v>
      </c>
      <c r="F161" s="52">
        <f>0.25+0.5</f>
        <v>0.75</v>
      </c>
      <c r="G161" s="438" t="s">
        <v>722</v>
      </c>
      <c r="H161" s="439"/>
    </row>
    <row r="162" spans="1:8" ht="8.25" customHeight="1">
      <c r="A162" s="105"/>
      <c r="B162" s="128"/>
      <c r="C162" s="7"/>
      <c r="D162" s="63"/>
      <c r="E162" s="7"/>
      <c r="F162" s="18"/>
      <c r="G162" s="376"/>
      <c r="H162" s="377"/>
    </row>
    <row r="163" spans="1:8">
      <c r="A163" s="119">
        <v>15</v>
      </c>
      <c r="B163" s="132"/>
      <c r="C163" s="14"/>
      <c r="D163" s="120" t="s">
        <v>419</v>
      </c>
      <c r="E163" s="14"/>
      <c r="F163" s="111"/>
      <c r="G163" s="428"/>
      <c r="H163" s="429"/>
    </row>
    <row r="164" spans="1:8" s="316" customFormat="1" ht="48" customHeight="1">
      <c r="A164" s="45" t="s">
        <v>330</v>
      </c>
      <c r="B164" s="315" t="s">
        <v>443</v>
      </c>
      <c r="C164" s="45" t="s">
        <v>436</v>
      </c>
      <c r="D164" s="317" t="s">
        <v>435</v>
      </c>
      <c r="E164" s="33" t="s">
        <v>19</v>
      </c>
      <c r="F164" s="52">
        <v>479.27499999999998</v>
      </c>
      <c r="G164" s="425" t="s">
        <v>694</v>
      </c>
      <c r="H164" s="426"/>
    </row>
    <row r="165" spans="1:8" s="316" customFormat="1" ht="48" customHeight="1">
      <c r="A165" s="45" t="s">
        <v>431</v>
      </c>
      <c r="B165" s="315" t="s">
        <v>443</v>
      </c>
      <c r="C165" s="33" t="s">
        <v>434</v>
      </c>
      <c r="D165" s="317" t="s">
        <v>433</v>
      </c>
      <c r="E165" s="33" t="s">
        <v>19</v>
      </c>
      <c r="F165" s="52">
        <f>F164</f>
        <v>479.27499999999998</v>
      </c>
      <c r="G165" s="425" t="s">
        <v>694</v>
      </c>
      <c r="H165" s="426"/>
    </row>
    <row r="166" spans="1:8" s="316" customFormat="1" ht="45" customHeight="1">
      <c r="A166" s="45" t="s">
        <v>432</v>
      </c>
      <c r="B166" s="315" t="s">
        <v>443</v>
      </c>
      <c r="C166" s="33" t="s">
        <v>421</v>
      </c>
      <c r="D166" s="317" t="s">
        <v>420</v>
      </c>
      <c r="E166" s="33" t="s">
        <v>19</v>
      </c>
      <c r="F166" s="52">
        <f>F164</f>
        <v>479.27499999999998</v>
      </c>
      <c r="G166" s="425" t="s">
        <v>694</v>
      </c>
      <c r="H166" s="426"/>
    </row>
    <row r="167" spans="1:8" s="316" customFormat="1" ht="43.5" customHeight="1">
      <c r="A167" s="45" t="s">
        <v>437</v>
      </c>
      <c r="B167" s="315" t="s">
        <v>443</v>
      </c>
      <c r="C167" s="33" t="s">
        <v>423</v>
      </c>
      <c r="D167" s="317" t="s">
        <v>422</v>
      </c>
      <c r="E167" s="33" t="s">
        <v>39</v>
      </c>
      <c r="F167" s="52">
        <v>18</v>
      </c>
      <c r="G167" s="425" t="s">
        <v>694</v>
      </c>
      <c r="H167" s="426"/>
    </row>
    <row r="168" spans="1:8" s="316" customFormat="1" ht="44.25" customHeight="1">
      <c r="A168" s="45" t="s">
        <v>603</v>
      </c>
      <c r="B168" s="315" t="s">
        <v>443</v>
      </c>
      <c r="C168" s="33" t="s">
        <v>602</v>
      </c>
      <c r="D168" s="317" t="s">
        <v>601</v>
      </c>
      <c r="E168" s="33" t="s">
        <v>39</v>
      </c>
      <c r="F168" s="52">
        <v>6</v>
      </c>
      <c r="G168" s="425" t="s">
        <v>694</v>
      </c>
      <c r="H168" s="426"/>
    </row>
    <row r="169" spans="1:8" s="316" customFormat="1" ht="29.25">
      <c r="A169" s="45" t="s">
        <v>605</v>
      </c>
      <c r="B169" s="315" t="s">
        <v>443</v>
      </c>
      <c r="C169" s="33" t="s">
        <v>192</v>
      </c>
      <c r="D169" s="169" t="s">
        <v>193</v>
      </c>
      <c r="E169" s="33" t="s">
        <v>19</v>
      </c>
      <c r="F169" s="52">
        <v>95.81</v>
      </c>
      <c r="G169" s="440" t="s">
        <v>695</v>
      </c>
      <c r="H169" s="441"/>
    </row>
    <row r="170" spans="1:8" s="316" customFormat="1" ht="42.75" customHeight="1">
      <c r="A170" s="45" t="s">
        <v>882</v>
      </c>
      <c r="B170" s="315" t="s">
        <v>443</v>
      </c>
      <c r="C170" s="330" t="s">
        <v>879</v>
      </c>
      <c r="D170" s="331" t="s">
        <v>880</v>
      </c>
      <c r="E170" s="33" t="s">
        <v>19</v>
      </c>
      <c r="F170" s="52">
        <v>62.13</v>
      </c>
      <c r="G170" s="425" t="s">
        <v>694</v>
      </c>
      <c r="H170" s="426"/>
    </row>
    <row r="171" spans="1:8" ht="9" customHeight="1">
      <c r="A171" s="105"/>
      <c r="B171" s="128"/>
      <c r="C171" s="7"/>
      <c r="D171" s="63"/>
      <c r="E171" s="7"/>
      <c r="F171" s="18"/>
      <c r="G171" s="376"/>
      <c r="H171" s="377"/>
    </row>
    <row r="172" spans="1:8">
      <c r="A172" s="42">
        <v>16</v>
      </c>
      <c r="B172" s="130"/>
      <c r="C172" s="13"/>
      <c r="D172" s="8" t="s">
        <v>329</v>
      </c>
      <c r="E172" s="13"/>
      <c r="F172" s="13"/>
      <c r="G172" s="421"/>
      <c r="H172" s="422"/>
    </row>
    <row r="173" spans="1:8">
      <c r="A173" s="30" t="s">
        <v>417</v>
      </c>
      <c r="B173" s="127" t="s">
        <v>443</v>
      </c>
      <c r="C173" s="7" t="s">
        <v>331</v>
      </c>
      <c r="D173" s="2" t="s">
        <v>332</v>
      </c>
      <c r="E173" s="7" t="s">
        <v>19</v>
      </c>
      <c r="F173" s="18">
        <v>189.06</v>
      </c>
      <c r="G173" s="376" t="s">
        <v>696</v>
      </c>
      <c r="H173" s="377"/>
    </row>
    <row r="174" spans="1:8" ht="14.25" customHeight="1">
      <c r="A174" s="57"/>
      <c r="B174" s="132"/>
      <c r="C174" s="14"/>
      <c r="D174" s="144"/>
      <c r="E174" s="14"/>
      <c r="F174" s="111"/>
      <c r="G174" s="423"/>
      <c r="H174" s="424"/>
    </row>
    <row r="175" spans="1:8" ht="15" customHeight="1">
      <c r="A175" s="106"/>
      <c r="B175" s="135"/>
      <c r="C175" s="75"/>
      <c r="D175" s="40"/>
      <c r="E175" s="40"/>
      <c r="F175" s="109"/>
      <c r="G175" s="416"/>
      <c r="H175" s="417"/>
    </row>
    <row r="176" spans="1:8" ht="15" customHeight="1">
      <c r="A176" s="104" t="s">
        <v>62</v>
      </c>
      <c r="B176" s="136"/>
      <c r="C176" s="76"/>
      <c r="D176" s="8" t="s">
        <v>407</v>
      </c>
      <c r="E176" s="8"/>
      <c r="F176" s="108"/>
      <c r="G176" s="418"/>
      <c r="H176" s="419"/>
    </row>
    <row r="177" spans="1:8">
      <c r="A177" s="42">
        <v>1</v>
      </c>
      <c r="B177" s="132"/>
      <c r="C177" s="14"/>
      <c r="D177" s="8" t="s">
        <v>344</v>
      </c>
      <c r="E177" s="3"/>
      <c r="F177" s="110"/>
      <c r="G177" s="386"/>
      <c r="H177" s="420"/>
    </row>
    <row r="178" spans="1:8">
      <c r="A178" s="44"/>
      <c r="B178" s="137"/>
      <c r="C178" s="33"/>
      <c r="D178" s="58" t="s">
        <v>345</v>
      </c>
      <c r="E178" s="34"/>
      <c r="F178" s="103"/>
      <c r="G178" s="388"/>
      <c r="H178" s="427"/>
    </row>
    <row r="179" spans="1:8" ht="72" customHeight="1">
      <c r="A179" s="7" t="s">
        <v>9</v>
      </c>
      <c r="B179" s="143" t="s">
        <v>443</v>
      </c>
      <c r="C179" s="7" t="s">
        <v>346</v>
      </c>
      <c r="D179" s="169" t="s">
        <v>540</v>
      </c>
      <c r="E179" s="7" t="s">
        <v>19</v>
      </c>
      <c r="F179" s="18">
        <f>(1.7*2*2.8)+(5.4*2.8)+((1.85*2)+(2.4*2)+(2.4*2)+(4*2)+(3.47*2)+2.2+1.95+1.25)*2.4</f>
        <v>105.376</v>
      </c>
      <c r="G179" s="414" t="s">
        <v>709</v>
      </c>
      <c r="H179" s="415"/>
    </row>
    <row r="180" spans="1:8">
      <c r="A180" s="44"/>
      <c r="B180" s="138"/>
      <c r="C180" s="45"/>
      <c r="D180" s="58" t="s">
        <v>348</v>
      </c>
      <c r="E180" s="45"/>
      <c r="F180" s="52"/>
      <c r="G180" s="388"/>
      <c r="H180" s="389"/>
    </row>
    <row r="181" spans="1:8" ht="33.75" customHeight="1">
      <c r="A181" s="30" t="s">
        <v>38</v>
      </c>
      <c r="B181" s="127" t="s">
        <v>443</v>
      </c>
      <c r="C181" s="30" t="s">
        <v>403</v>
      </c>
      <c r="D181" s="29" t="s">
        <v>697</v>
      </c>
      <c r="E181" s="45" t="s">
        <v>19</v>
      </c>
      <c r="F181" s="118">
        <f>(3.7+4.5+2.78+3.35)*2.4*2</f>
        <v>68.783999999999992</v>
      </c>
      <c r="G181" s="400" t="s">
        <v>710</v>
      </c>
      <c r="H181" s="401"/>
    </row>
    <row r="182" spans="1:8" ht="8.25" customHeight="1">
      <c r="A182" s="30"/>
      <c r="B182" s="138"/>
      <c r="C182" s="30"/>
      <c r="D182" s="59"/>
      <c r="E182" s="45"/>
      <c r="F182" s="52"/>
      <c r="G182" s="388"/>
      <c r="H182" s="389"/>
    </row>
    <row r="183" spans="1:8">
      <c r="A183" s="57">
        <v>2</v>
      </c>
      <c r="B183" s="139"/>
      <c r="C183" s="57"/>
      <c r="D183" s="8" t="s">
        <v>526</v>
      </c>
      <c r="E183" s="57"/>
      <c r="F183" s="111"/>
      <c r="G183" s="386"/>
      <c r="H183" s="387"/>
    </row>
    <row r="184" spans="1:8" ht="48.75" customHeight="1">
      <c r="A184" s="30" t="s">
        <v>10</v>
      </c>
      <c r="B184" s="127" t="s">
        <v>443</v>
      </c>
      <c r="C184" s="30" t="s">
        <v>349</v>
      </c>
      <c r="D184" s="34" t="s">
        <v>350</v>
      </c>
      <c r="E184" s="30" t="s">
        <v>19</v>
      </c>
      <c r="F184" s="18">
        <f>(9.72*1.55)+(1.25*1.25)+(1.2*2.2)</f>
        <v>19.268500000000003</v>
      </c>
      <c r="G184" s="404" t="s">
        <v>699</v>
      </c>
      <c r="H184" s="405"/>
    </row>
    <row r="185" spans="1:8" ht="48" customHeight="1">
      <c r="A185" s="30" t="s">
        <v>31</v>
      </c>
      <c r="B185" s="127" t="s">
        <v>443</v>
      </c>
      <c r="C185" s="30" t="s">
        <v>351</v>
      </c>
      <c r="D185" s="198" t="s">
        <v>352</v>
      </c>
      <c r="E185" s="30" t="s">
        <v>19</v>
      </c>
      <c r="F185" s="18">
        <f>9.72*1.55</f>
        <v>15.066000000000001</v>
      </c>
      <c r="G185" s="404" t="s">
        <v>700</v>
      </c>
      <c r="H185" s="405"/>
    </row>
    <row r="186" spans="1:8">
      <c r="A186" s="30" t="s">
        <v>32</v>
      </c>
      <c r="B186" s="127" t="s">
        <v>443</v>
      </c>
      <c r="C186" s="30" t="s">
        <v>353</v>
      </c>
      <c r="D186" s="34" t="s">
        <v>354</v>
      </c>
      <c r="E186" s="30" t="s">
        <v>19</v>
      </c>
      <c r="F186" s="18">
        <f>2.28*1.97*1.077</f>
        <v>4.8374531999999988</v>
      </c>
      <c r="G186" s="408" t="s">
        <v>714</v>
      </c>
      <c r="H186" s="409"/>
    </row>
    <row r="187" spans="1:8" ht="28.5">
      <c r="A187" s="30" t="s">
        <v>33</v>
      </c>
      <c r="B187" s="127" t="s">
        <v>443</v>
      </c>
      <c r="C187" s="30" t="s">
        <v>355</v>
      </c>
      <c r="D187" s="29" t="s">
        <v>356</v>
      </c>
      <c r="E187" s="30" t="s">
        <v>19</v>
      </c>
      <c r="F187" s="118">
        <f>1.95*0.6</f>
        <v>1.17</v>
      </c>
      <c r="G187" s="398" t="s">
        <v>701</v>
      </c>
      <c r="H187" s="399"/>
    </row>
    <row r="188" spans="1:8" ht="45.75" customHeight="1">
      <c r="A188" s="30" t="s">
        <v>34</v>
      </c>
      <c r="B188" s="127" t="s">
        <v>443</v>
      </c>
      <c r="C188" s="30" t="s">
        <v>387</v>
      </c>
      <c r="D188" s="34" t="s">
        <v>388</v>
      </c>
      <c r="E188" s="30" t="s">
        <v>19</v>
      </c>
      <c r="F188" s="113">
        <f>3.65*2.8*1.007</f>
        <v>10.291539999999998</v>
      </c>
      <c r="G188" s="400" t="s">
        <v>704</v>
      </c>
      <c r="H188" s="401"/>
    </row>
    <row r="189" spans="1:8" ht="34.5" customHeight="1">
      <c r="A189" s="30" t="s">
        <v>35</v>
      </c>
      <c r="B189" s="127" t="s">
        <v>443</v>
      </c>
      <c r="C189" s="45" t="s">
        <v>397</v>
      </c>
      <c r="D189" s="34" t="s">
        <v>398</v>
      </c>
      <c r="E189" s="45" t="s">
        <v>21</v>
      </c>
      <c r="F189" s="52">
        <f>3+3+1.2+1.2</f>
        <v>8.4</v>
      </c>
      <c r="G189" s="392" t="s">
        <v>703</v>
      </c>
      <c r="H189" s="393"/>
    </row>
    <row r="190" spans="1:8">
      <c r="A190" s="30" t="s">
        <v>82</v>
      </c>
      <c r="B190" s="127" t="s">
        <v>443</v>
      </c>
      <c r="C190" s="45" t="s">
        <v>399</v>
      </c>
      <c r="D190" s="34" t="s">
        <v>400</v>
      </c>
      <c r="E190" s="45" t="s">
        <v>21</v>
      </c>
      <c r="F190" s="52">
        <v>3</v>
      </c>
      <c r="G190" s="388" t="s">
        <v>702</v>
      </c>
      <c r="H190" s="389"/>
    </row>
    <row r="191" spans="1:8" ht="56.25" customHeight="1">
      <c r="A191" s="30" t="s">
        <v>83</v>
      </c>
      <c r="B191" s="127" t="s">
        <v>443</v>
      </c>
      <c r="C191" s="30" t="s">
        <v>403</v>
      </c>
      <c r="D191" s="168" t="s">
        <v>467</v>
      </c>
      <c r="E191" s="45" t="s">
        <v>19</v>
      </c>
      <c r="F191" s="117">
        <f>8*2.8</f>
        <v>22.4</v>
      </c>
      <c r="G191" s="390" t="s">
        <v>705</v>
      </c>
      <c r="H191" s="391"/>
    </row>
    <row r="192" spans="1:8" ht="28.5">
      <c r="A192" s="30" t="s">
        <v>84</v>
      </c>
      <c r="B192" s="127" t="s">
        <v>443</v>
      </c>
      <c r="C192" s="30" t="s">
        <v>357</v>
      </c>
      <c r="D192" s="29" t="s">
        <v>472</v>
      </c>
      <c r="E192" s="30" t="s">
        <v>19</v>
      </c>
      <c r="F192" s="18">
        <f>2.4*0.3*5</f>
        <v>3.5999999999999996</v>
      </c>
      <c r="G192" s="400" t="s">
        <v>706</v>
      </c>
      <c r="H192" s="401"/>
    </row>
    <row r="193" spans="1:8" ht="8.25" customHeight="1">
      <c r="A193" s="31"/>
      <c r="B193" s="138"/>
      <c r="C193" s="30"/>
      <c r="D193" s="59"/>
      <c r="E193" s="45"/>
      <c r="F193" s="52"/>
      <c r="G193" s="388"/>
      <c r="H193" s="389"/>
    </row>
    <row r="194" spans="1:8">
      <c r="A194" s="42">
        <v>3</v>
      </c>
      <c r="B194" s="140"/>
      <c r="C194" s="3"/>
      <c r="D194" s="11" t="s">
        <v>544</v>
      </c>
      <c r="E194" s="3"/>
      <c r="F194" s="110"/>
      <c r="G194" s="386"/>
      <c r="H194" s="387"/>
    </row>
    <row r="195" spans="1:8" ht="29.25" customHeight="1">
      <c r="A195" s="30" t="s">
        <v>11</v>
      </c>
      <c r="B195" s="127" t="s">
        <v>443</v>
      </c>
      <c r="C195" s="30" t="s">
        <v>459</v>
      </c>
      <c r="D195" s="29" t="s">
        <v>473</v>
      </c>
      <c r="E195" s="30" t="s">
        <v>19</v>
      </c>
      <c r="F195" s="18">
        <v>5.28</v>
      </c>
      <c r="G195" s="400" t="s">
        <v>715</v>
      </c>
      <c r="H195" s="401"/>
    </row>
    <row r="196" spans="1:8" ht="47.25" customHeight="1">
      <c r="A196" s="30" t="s">
        <v>72</v>
      </c>
      <c r="B196" s="127" t="s">
        <v>443</v>
      </c>
      <c r="C196" s="30" t="s">
        <v>359</v>
      </c>
      <c r="D196" s="29" t="s">
        <v>469</v>
      </c>
      <c r="E196" s="30" t="s">
        <v>19</v>
      </c>
      <c r="F196" s="18">
        <f>0.5*1.6*2</f>
        <v>1.6</v>
      </c>
      <c r="G196" s="400" t="s">
        <v>786</v>
      </c>
      <c r="H196" s="401"/>
    </row>
    <row r="197" spans="1:8" ht="45.75" customHeight="1">
      <c r="A197" s="30" t="s">
        <v>73</v>
      </c>
      <c r="B197" s="127" t="s">
        <v>443</v>
      </c>
      <c r="C197" s="30" t="s">
        <v>460</v>
      </c>
      <c r="D197" s="29" t="s">
        <v>470</v>
      </c>
      <c r="E197" s="30" t="s">
        <v>20</v>
      </c>
      <c r="F197" s="18">
        <v>1.6</v>
      </c>
      <c r="G197" s="400" t="s">
        <v>786</v>
      </c>
      <c r="H197" s="401"/>
    </row>
    <row r="198" spans="1:8" ht="33.75" customHeight="1">
      <c r="A198" s="30" t="s">
        <v>74</v>
      </c>
      <c r="B198" s="127" t="s">
        <v>443</v>
      </c>
      <c r="C198" s="30" t="s">
        <v>361</v>
      </c>
      <c r="D198" s="34" t="s">
        <v>471</v>
      </c>
      <c r="E198" s="30" t="s">
        <v>19</v>
      </c>
      <c r="F198" s="18">
        <v>5.28</v>
      </c>
      <c r="G198" s="400" t="s">
        <v>716</v>
      </c>
      <c r="H198" s="401"/>
    </row>
    <row r="199" spans="1:8" ht="35.25" customHeight="1">
      <c r="A199" s="30" t="s">
        <v>75</v>
      </c>
      <c r="B199" s="127" t="s">
        <v>443</v>
      </c>
      <c r="C199" s="30" t="s">
        <v>463</v>
      </c>
      <c r="D199" s="34" t="s">
        <v>462</v>
      </c>
      <c r="E199" s="30" t="s">
        <v>19</v>
      </c>
      <c r="F199" s="18">
        <f>(1.25*1.25)+(4*0.3)</f>
        <v>2.7625000000000002</v>
      </c>
      <c r="G199" s="404" t="s">
        <v>717</v>
      </c>
      <c r="H199" s="405"/>
    </row>
    <row r="200" spans="1:8" ht="8.25" customHeight="1">
      <c r="A200" s="30"/>
      <c r="B200" s="138"/>
      <c r="C200" s="30"/>
      <c r="D200" s="59"/>
      <c r="E200" s="33"/>
      <c r="F200" s="52"/>
      <c r="G200" s="388"/>
      <c r="H200" s="389"/>
    </row>
    <row r="201" spans="1:8">
      <c r="A201" s="42">
        <v>4</v>
      </c>
      <c r="B201" s="139"/>
      <c r="C201" s="57"/>
      <c r="D201" s="43" t="s">
        <v>363</v>
      </c>
      <c r="E201" s="14"/>
      <c r="F201" s="111"/>
      <c r="G201" s="386"/>
      <c r="H201" s="387"/>
    </row>
    <row r="202" spans="1:8" ht="66.75" customHeight="1">
      <c r="A202" s="7" t="s">
        <v>12</v>
      </c>
      <c r="B202" s="143" t="s">
        <v>443</v>
      </c>
      <c r="C202" s="7" t="s">
        <v>364</v>
      </c>
      <c r="D202" s="32" t="s">
        <v>365</v>
      </c>
      <c r="E202" s="33" t="s">
        <v>51</v>
      </c>
      <c r="F202" s="52">
        <v>202.59</v>
      </c>
      <c r="G202" s="392" t="s">
        <v>707</v>
      </c>
      <c r="H202" s="393"/>
    </row>
    <row r="203" spans="1:8" ht="45.75" customHeight="1">
      <c r="A203" s="7" t="s">
        <v>13</v>
      </c>
      <c r="B203" s="143" t="s">
        <v>443</v>
      </c>
      <c r="C203" s="7" t="s">
        <v>289</v>
      </c>
      <c r="D203" s="32" t="s">
        <v>464</v>
      </c>
      <c r="E203" s="33" t="s">
        <v>51</v>
      </c>
      <c r="F203" s="52">
        <f>+(2.35*0.15*0.003*7850*6)</f>
        <v>49.808250000000001</v>
      </c>
      <c r="G203" s="392" t="s">
        <v>708</v>
      </c>
      <c r="H203" s="393"/>
    </row>
    <row r="204" spans="1:8" ht="33.75" customHeight="1">
      <c r="A204" s="7" t="s">
        <v>14</v>
      </c>
      <c r="B204" s="143" t="s">
        <v>443</v>
      </c>
      <c r="C204" s="7" t="s">
        <v>366</v>
      </c>
      <c r="D204" s="32" t="s">
        <v>367</v>
      </c>
      <c r="E204" s="33" t="s">
        <v>51</v>
      </c>
      <c r="F204" s="52">
        <v>252.4</v>
      </c>
      <c r="G204" s="394" t="s">
        <v>711</v>
      </c>
      <c r="H204" s="395"/>
    </row>
    <row r="205" spans="1:8" ht="31.5" customHeight="1">
      <c r="A205" s="30" t="s">
        <v>110</v>
      </c>
      <c r="B205" s="127" t="s">
        <v>443</v>
      </c>
      <c r="C205" s="30" t="s">
        <v>368</v>
      </c>
      <c r="D205" s="79" t="s">
        <v>369</v>
      </c>
      <c r="E205" s="33" t="s">
        <v>19</v>
      </c>
      <c r="F205" s="52">
        <v>5.57</v>
      </c>
      <c r="G205" s="394" t="s">
        <v>878</v>
      </c>
      <c r="H205" s="395"/>
    </row>
    <row r="206" spans="1:8" ht="30" customHeight="1">
      <c r="A206" s="30" t="s">
        <v>111</v>
      </c>
      <c r="B206" s="127" t="s">
        <v>443</v>
      </c>
      <c r="C206" s="30" t="s">
        <v>370</v>
      </c>
      <c r="D206" s="79" t="s">
        <v>371</v>
      </c>
      <c r="E206" s="33" t="s">
        <v>21</v>
      </c>
      <c r="F206" s="52">
        <v>2.2799999999999998</v>
      </c>
      <c r="G206" s="394" t="s">
        <v>712</v>
      </c>
      <c r="H206" s="395"/>
    </row>
    <row r="207" spans="1:8" ht="30.75" customHeight="1">
      <c r="A207" s="30" t="s">
        <v>147</v>
      </c>
      <c r="B207" s="127" t="s">
        <v>443</v>
      </c>
      <c r="C207" s="30" t="s">
        <v>372</v>
      </c>
      <c r="D207" s="79" t="s">
        <v>373</v>
      </c>
      <c r="E207" s="33" t="s">
        <v>19</v>
      </c>
      <c r="F207" s="52">
        <v>7.79</v>
      </c>
      <c r="G207" s="392" t="s">
        <v>713</v>
      </c>
      <c r="H207" s="393"/>
    </row>
    <row r="208" spans="1:8" ht="58.5" customHeight="1">
      <c r="A208" s="30" t="s">
        <v>148</v>
      </c>
      <c r="B208" s="127" t="s">
        <v>443</v>
      </c>
      <c r="C208" s="30" t="s">
        <v>374</v>
      </c>
      <c r="D208" s="29" t="s">
        <v>595</v>
      </c>
      <c r="E208" s="33" t="s">
        <v>19</v>
      </c>
      <c r="F208" s="52">
        <v>66.040000000000006</v>
      </c>
      <c r="G208" s="392" t="s">
        <v>725</v>
      </c>
      <c r="H208" s="393"/>
    </row>
    <row r="209" spans="1:8" ht="9.75" customHeight="1">
      <c r="A209" s="30"/>
      <c r="B209" s="138"/>
      <c r="C209" s="30"/>
      <c r="D209" s="59"/>
      <c r="E209" s="77"/>
      <c r="F209" s="112"/>
      <c r="G209" s="412"/>
      <c r="H209" s="413"/>
    </row>
    <row r="210" spans="1:8">
      <c r="A210" s="42">
        <v>5</v>
      </c>
      <c r="B210" s="139"/>
      <c r="C210" s="57"/>
      <c r="D210" s="26" t="s">
        <v>375</v>
      </c>
      <c r="E210" s="57"/>
      <c r="F210" s="111"/>
      <c r="G210" s="386"/>
      <c r="H210" s="387"/>
    </row>
    <row r="211" spans="1:8" ht="44.25" customHeight="1">
      <c r="A211" s="30" t="s">
        <v>15</v>
      </c>
      <c r="B211" s="127" t="s">
        <v>443</v>
      </c>
      <c r="C211" s="30" t="s">
        <v>376</v>
      </c>
      <c r="D211" s="27" t="s">
        <v>377</v>
      </c>
      <c r="E211" s="30" t="s">
        <v>77</v>
      </c>
      <c r="F211" s="18">
        <v>30</v>
      </c>
      <c r="G211" s="406" t="s">
        <v>723</v>
      </c>
      <c r="H211" s="407"/>
    </row>
    <row r="212" spans="1:8" ht="29.25">
      <c r="A212" s="30" t="s">
        <v>16</v>
      </c>
      <c r="B212" s="127" t="s">
        <v>443</v>
      </c>
      <c r="C212" s="30" t="s">
        <v>378</v>
      </c>
      <c r="D212" s="21" t="s">
        <v>379</v>
      </c>
      <c r="E212" s="30" t="s">
        <v>77</v>
      </c>
      <c r="F212" s="113">
        <v>4</v>
      </c>
      <c r="G212" s="406" t="s">
        <v>733</v>
      </c>
      <c r="H212" s="407"/>
    </row>
    <row r="213" spans="1:8" ht="29.25">
      <c r="A213" s="30" t="s">
        <v>17</v>
      </c>
      <c r="B213" s="127" t="s">
        <v>443</v>
      </c>
      <c r="C213" s="30" t="s">
        <v>729</v>
      </c>
      <c r="D213" s="21" t="s">
        <v>728</v>
      </c>
      <c r="E213" s="30" t="s">
        <v>77</v>
      </c>
      <c r="F213" s="121">
        <v>8</v>
      </c>
      <c r="G213" s="406" t="s">
        <v>732</v>
      </c>
      <c r="H213" s="407"/>
    </row>
    <row r="214" spans="1:8" ht="39" customHeight="1">
      <c r="A214" s="30" t="s">
        <v>40</v>
      </c>
      <c r="B214" s="127" t="s">
        <v>443</v>
      </c>
      <c r="C214" s="30" t="s">
        <v>380</v>
      </c>
      <c r="D214" s="21" t="s">
        <v>381</v>
      </c>
      <c r="E214" s="30" t="s">
        <v>77</v>
      </c>
      <c r="F214" s="170">
        <v>15</v>
      </c>
      <c r="G214" s="406" t="s">
        <v>724</v>
      </c>
      <c r="H214" s="407"/>
    </row>
    <row r="215" spans="1:8" ht="29.25">
      <c r="A215" s="30" t="s">
        <v>41</v>
      </c>
      <c r="B215" s="127" t="s">
        <v>443</v>
      </c>
      <c r="C215" s="30" t="s">
        <v>382</v>
      </c>
      <c r="D215" s="21" t="s">
        <v>383</v>
      </c>
      <c r="E215" s="30" t="s">
        <v>77</v>
      </c>
      <c r="F215" s="113">
        <v>5</v>
      </c>
      <c r="G215" s="410" t="s">
        <v>726</v>
      </c>
      <c r="H215" s="411"/>
    </row>
    <row r="216" spans="1:8" ht="33.75" customHeight="1">
      <c r="A216" s="30" t="s">
        <v>52</v>
      </c>
      <c r="B216" s="127" t="s">
        <v>443</v>
      </c>
      <c r="C216" s="30" t="s">
        <v>81</v>
      </c>
      <c r="D216" s="21" t="s">
        <v>384</v>
      </c>
      <c r="E216" s="30" t="s">
        <v>21</v>
      </c>
      <c r="F216" s="113">
        <f>(5.72+6.15+2.6+5.1+1+5.41+3.5+6.28+3.44+5.5)+(2*7)+(2.2*23)</f>
        <v>109.3</v>
      </c>
      <c r="G216" s="400" t="s">
        <v>727</v>
      </c>
      <c r="H216" s="401"/>
    </row>
    <row r="217" spans="1:8" ht="54" customHeight="1">
      <c r="A217" s="30" t="s">
        <v>53</v>
      </c>
      <c r="B217" s="127" t="s">
        <v>443</v>
      </c>
      <c r="C217" s="30" t="s">
        <v>429</v>
      </c>
      <c r="D217" s="21" t="s">
        <v>465</v>
      </c>
      <c r="E217" s="30" t="s">
        <v>21</v>
      </c>
      <c r="F217" s="121">
        <f>(5.72+6.15+2.6+5.1+1+5.41+3.5+6.28+3.44+5.5)+(2*7)+(2.2*23)</f>
        <v>109.3</v>
      </c>
      <c r="G217" s="406" t="s">
        <v>731</v>
      </c>
      <c r="H217" s="407"/>
    </row>
    <row r="218" spans="1:8" ht="72" customHeight="1">
      <c r="A218" s="30" t="s">
        <v>54</v>
      </c>
      <c r="B218" s="127" t="s">
        <v>443</v>
      </c>
      <c r="C218" s="30" t="s">
        <v>60</v>
      </c>
      <c r="D218" s="124" t="s">
        <v>59</v>
      </c>
      <c r="E218" s="30" t="s">
        <v>21</v>
      </c>
      <c r="F218" s="113">
        <f>((5.72+6.15+2.6+5.1+1+5.41+3.5+6.28+3.44+5.5)+(2*7)+(2.2*23))*3</f>
        <v>327.9</v>
      </c>
      <c r="G218" s="400" t="s">
        <v>756</v>
      </c>
      <c r="H218" s="401"/>
    </row>
    <row r="219" spans="1:8" ht="30.75" customHeight="1">
      <c r="A219" s="30" t="s">
        <v>55</v>
      </c>
      <c r="B219" s="127" t="s">
        <v>443</v>
      </c>
      <c r="C219" s="122" t="s">
        <v>734</v>
      </c>
      <c r="D219" s="125" t="s">
        <v>430</v>
      </c>
      <c r="E219" s="123" t="s">
        <v>21</v>
      </c>
      <c r="F219" s="113">
        <f>9.26+9.05+4.06</f>
        <v>22.37</v>
      </c>
      <c r="G219" s="400" t="s">
        <v>745</v>
      </c>
      <c r="H219" s="401"/>
    </row>
    <row r="220" spans="1:8">
      <c r="A220" s="30" t="s">
        <v>56</v>
      </c>
      <c r="B220" s="127" t="s">
        <v>443</v>
      </c>
      <c r="C220" s="30" t="s">
        <v>737</v>
      </c>
      <c r="D220" s="1" t="s">
        <v>736</v>
      </c>
      <c r="E220" s="30" t="s">
        <v>77</v>
      </c>
      <c r="F220" s="113">
        <f>30+23+7+5+1</f>
        <v>66</v>
      </c>
      <c r="G220" s="398" t="s">
        <v>746</v>
      </c>
      <c r="H220" s="399"/>
    </row>
    <row r="221" spans="1:8">
      <c r="A221" s="30" t="s">
        <v>587</v>
      </c>
      <c r="B221" s="127" t="s">
        <v>443</v>
      </c>
      <c r="C221" s="28" t="s">
        <v>385</v>
      </c>
      <c r="D221" s="21" t="s">
        <v>386</v>
      </c>
      <c r="E221" s="7" t="s">
        <v>47</v>
      </c>
      <c r="F221" s="18">
        <v>23</v>
      </c>
      <c r="G221" s="408" t="s">
        <v>747</v>
      </c>
      <c r="H221" s="409"/>
    </row>
    <row r="222" spans="1:8">
      <c r="A222" s="30" t="s">
        <v>588</v>
      </c>
      <c r="B222" s="127" t="s">
        <v>443</v>
      </c>
      <c r="C222" s="30" t="s">
        <v>247</v>
      </c>
      <c r="D222" s="21" t="s">
        <v>248</v>
      </c>
      <c r="E222" s="7" t="s">
        <v>47</v>
      </c>
      <c r="F222" s="18">
        <v>7</v>
      </c>
      <c r="G222" s="408" t="s">
        <v>748</v>
      </c>
      <c r="H222" s="409"/>
    </row>
    <row r="223" spans="1:8">
      <c r="A223" s="30" t="s">
        <v>589</v>
      </c>
      <c r="B223" s="127" t="s">
        <v>443</v>
      </c>
      <c r="C223" s="30" t="s">
        <v>741</v>
      </c>
      <c r="D223" s="21" t="s">
        <v>740</v>
      </c>
      <c r="E223" s="7" t="s">
        <v>47</v>
      </c>
      <c r="F223" s="18">
        <v>5</v>
      </c>
      <c r="G223" s="408" t="s">
        <v>747</v>
      </c>
      <c r="H223" s="409"/>
    </row>
    <row r="224" spans="1:8">
      <c r="A224" s="30" t="s">
        <v>730</v>
      </c>
      <c r="B224" s="127" t="s">
        <v>443</v>
      </c>
      <c r="C224" s="28" t="s">
        <v>738</v>
      </c>
      <c r="D224" s="1" t="s">
        <v>739</v>
      </c>
      <c r="E224" s="7" t="s">
        <v>47</v>
      </c>
      <c r="F224" s="18">
        <v>1</v>
      </c>
      <c r="G224" s="408" t="s">
        <v>747</v>
      </c>
      <c r="H224" s="409"/>
    </row>
    <row r="225" spans="1:8" ht="29.25" customHeight="1">
      <c r="A225" s="30" t="s">
        <v>742</v>
      </c>
      <c r="B225" s="127" t="s">
        <v>443</v>
      </c>
      <c r="C225" s="30" t="s">
        <v>427</v>
      </c>
      <c r="D225" s="21" t="s">
        <v>426</v>
      </c>
      <c r="E225" s="7" t="s">
        <v>21</v>
      </c>
      <c r="F225" s="18">
        <f>18.31+4.06</f>
        <v>22.369999999999997</v>
      </c>
      <c r="G225" s="404" t="s">
        <v>749</v>
      </c>
      <c r="H225" s="405"/>
    </row>
    <row r="226" spans="1:8" ht="29.25" customHeight="1">
      <c r="A226" s="30" t="s">
        <v>743</v>
      </c>
      <c r="B226" s="127" t="s">
        <v>443</v>
      </c>
      <c r="C226" s="30" t="s">
        <v>425</v>
      </c>
      <c r="D226" s="21" t="s">
        <v>424</v>
      </c>
      <c r="E226" s="7" t="s">
        <v>77</v>
      </c>
      <c r="F226" s="18">
        <v>3</v>
      </c>
      <c r="G226" s="404" t="s">
        <v>750</v>
      </c>
      <c r="H226" s="405"/>
    </row>
    <row r="227" spans="1:8" ht="8.25" customHeight="1">
      <c r="A227" s="30"/>
      <c r="B227" s="138"/>
      <c r="C227" s="30"/>
      <c r="D227" s="59"/>
      <c r="E227" s="45"/>
      <c r="F227" s="114"/>
      <c r="G227" s="402"/>
      <c r="H227" s="403"/>
    </row>
    <row r="228" spans="1:8">
      <c r="A228" s="42">
        <v>6</v>
      </c>
      <c r="B228" s="139"/>
      <c r="C228" s="83"/>
      <c r="D228" s="84" t="s">
        <v>389</v>
      </c>
      <c r="E228" s="57"/>
      <c r="F228" s="115"/>
      <c r="G228" s="396"/>
      <c r="H228" s="397"/>
    </row>
    <row r="229" spans="1:8" ht="28.5">
      <c r="A229" s="30" t="s">
        <v>168</v>
      </c>
      <c r="B229" s="127" t="s">
        <v>443</v>
      </c>
      <c r="C229" s="30" t="s">
        <v>390</v>
      </c>
      <c r="D229" s="85" t="s">
        <v>896</v>
      </c>
      <c r="E229" s="30" t="s">
        <v>19</v>
      </c>
      <c r="F229" s="113">
        <f>0.6*0.8*13</f>
        <v>6.24</v>
      </c>
      <c r="G229" s="398" t="s">
        <v>895</v>
      </c>
      <c r="H229" s="399"/>
    </row>
    <row r="230" spans="1:8" ht="44.25" customHeight="1">
      <c r="A230" s="30" t="s">
        <v>169</v>
      </c>
      <c r="B230" s="138" t="s">
        <v>391</v>
      </c>
      <c r="C230" s="30"/>
      <c r="D230" s="195" t="s">
        <v>598</v>
      </c>
      <c r="E230" s="30" t="s">
        <v>77</v>
      </c>
      <c r="F230" s="121">
        <v>4</v>
      </c>
      <c r="G230" s="400" t="s">
        <v>760</v>
      </c>
      <c r="H230" s="401"/>
    </row>
    <row r="231" spans="1:8" ht="7.5" customHeight="1">
      <c r="A231" s="30"/>
      <c r="B231" s="138"/>
      <c r="C231" s="30"/>
      <c r="D231" s="59"/>
      <c r="E231" s="45"/>
      <c r="F231" s="114"/>
      <c r="G231" s="402"/>
      <c r="H231" s="403"/>
    </row>
    <row r="232" spans="1:8">
      <c r="A232" s="42">
        <v>7</v>
      </c>
      <c r="B232" s="140"/>
      <c r="C232" s="3"/>
      <c r="D232" s="8" t="s">
        <v>197</v>
      </c>
      <c r="E232" s="57"/>
      <c r="F232" s="110"/>
      <c r="G232" s="386"/>
      <c r="H232" s="387"/>
    </row>
    <row r="233" spans="1:8">
      <c r="A233" s="45" t="s">
        <v>57</v>
      </c>
      <c r="B233" s="127" t="s">
        <v>443</v>
      </c>
      <c r="C233" s="45" t="s">
        <v>392</v>
      </c>
      <c r="D233" s="34" t="s">
        <v>393</v>
      </c>
      <c r="E233" s="45" t="s">
        <v>19</v>
      </c>
      <c r="F233" s="52">
        <v>3.6</v>
      </c>
      <c r="G233" s="388" t="s">
        <v>466</v>
      </c>
      <c r="H233" s="389"/>
    </row>
    <row r="234" spans="1:8" ht="33.75" customHeight="1">
      <c r="A234" s="33" t="s">
        <v>58</v>
      </c>
      <c r="B234" s="143" t="s">
        <v>443</v>
      </c>
      <c r="C234" s="45" t="s">
        <v>757</v>
      </c>
      <c r="D234" s="34" t="s">
        <v>758</v>
      </c>
      <c r="E234" s="45" t="s">
        <v>19</v>
      </c>
      <c r="F234" s="52">
        <f>210.76+68.78+66.04+22.4</f>
        <v>367.97999999999996</v>
      </c>
      <c r="G234" s="390" t="s">
        <v>762</v>
      </c>
      <c r="H234" s="391"/>
    </row>
    <row r="235" spans="1:8" ht="31.5" customHeight="1">
      <c r="A235" s="33" t="s">
        <v>529</v>
      </c>
      <c r="B235" s="143" t="s">
        <v>443</v>
      </c>
      <c r="C235" s="45" t="s">
        <v>759</v>
      </c>
      <c r="D235" s="34" t="s">
        <v>761</v>
      </c>
      <c r="E235" s="45" t="s">
        <v>19</v>
      </c>
      <c r="F235" s="52">
        <f>210.76+68.78+66.04+22.4</f>
        <v>367.97999999999996</v>
      </c>
      <c r="G235" s="392" t="s">
        <v>763</v>
      </c>
      <c r="H235" s="393"/>
    </row>
    <row r="236" spans="1:8" ht="28.5" customHeight="1">
      <c r="A236" s="45" t="s">
        <v>530</v>
      </c>
      <c r="B236" s="127" t="s">
        <v>443</v>
      </c>
      <c r="C236" s="45" t="s">
        <v>50</v>
      </c>
      <c r="D236" s="34" t="s">
        <v>49</v>
      </c>
      <c r="E236" s="45" t="s">
        <v>19</v>
      </c>
      <c r="F236" s="33">
        <v>5.57</v>
      </c>
      <c r="G236" s="394" t="s">
        <v>764</v>
      </c>
      <c r="H236" s="395"/>
    </row>
    <row r="237" spans="1:8" ht="33" customHeight="1">
      <c r="A237" s="45" t="s">
        <v>531</v>
      </c>
      <c r="B237" s="127" t="s">
        <v>443</v>
      </c>
      <c r="C237" s="45" t="s">
        <v>211</v>
      </c>
      <c r="D237" s="34" t="s">
        <v>394</v>
      </c>
      <c r="E237" s="45" t="s">
        <v>19</v>
      </c>
      <c r="F237" s="52">
        <f>7.79+4.84</f>
        <v>12.629999999999999</v>
      </c>
      <c r="G237" s="392" t="s">
        <v>765</v>
      </c>
      <c r="H237" s="393"/>
    </row>
    <row r="238" spans="1:8" ht="42.75">
      <c r="A238" s="45" t="s">
        <v>532</v>
      </c>
      <c r="B238" s="127" t="s">
        <v>443</v>
      </c>
      <c r="C238" s="45" t="s">
        <v>395</v>
      </c>
      <c r="D238" s="55" t="s">
        <v>396</v>
      </c>
      <c r="E238" s="45" t="s">
        <v>19</v>
      </c>
      <c r="F238" s="45">
        <v>66.040000000000006</v>
      </c>
      <c r="G238" s="390" t="s">
        <v>767</v>
      </c>
      <c r="H238" s="391"/>
    </row>
    <row r="239" spans="1:8" ht="48.75" customHeight="1">
      <c r="A239" s="45" t="s">
        <v>698</v>
      </c>
      <c r="B239" s="127" t="s">
        <v>443</v>
      </c>
      <c r="C239" s="45" t="s">
        <v>401</v>
      </c>
      <c r="D239" s="34" t="s">
        <v>402</v>
      </c>
      <c r="E239" s="45" t="s">
        <v>19</v>
      </c>
      <c r="F239" s="52">
        <v>38.840299999999999</v>
      </c>
      <c r="G239" s="392" t="s">
        <v>766</v>
      </c>
      <c r="H239" s="393"/>
    </row>
    <row r="240" spans="1:8" ht="8.25" customHeight="1">
      <c r="A240" s="45"/>
      <c r="B240" s="141"/>
      <c r="C240" s="34"/>
      <c r="D240" s="59"/>
      <c r="E240" s="45"/>
      <c r="F240" s="52"/>
      <c r="G240" s="388"/>
      <c r="H240" s="389"/>
    </row>
    <row r="241" spans="1:8">
      <c r="A241" s="57">
        <v>8</v>
      </c>
      <c r="B241" s="142"/>
      <c r="C241" s="97"/>
      <c r="D241" s="8" t="s">
        <v>411</v>
      </c>
      <c r="E241" s="57"/>
      <c r="F241" s="110"/>
      <c r="G241" s="386"/>
      <c r="H241" s="387"/>
    </row>
    <row r="242" spans="1:8" ht="15.75">
      <c r="A242" s="30" t="s">
        <v>97</v>
      </c>
      <c r="B242" s="127" t="s">
        <v>309</v>
      </c>
      <c r="C242" s="94" t="s">
        <v>542</v>
      </c>
      <c r="D242" s="71" t="s">
        <v>541</v>
      </c>
      <c r="E242" s="7" t="s">
        <v>39</v>
      </c>
      <c r="F242" s="116">
        <v>1</v>
      </c>
      <c r="G242" s="378" t="s">
        <v>768</v>
      </c>
      <c r="H242" s="379"/>
    </row>
    <row r="243" spans="1:8" ht="15.75">
      <c r="A243" s="30" t="s">
        <v>98</v>
      </c>
      <c r="B243" s="127" t="s">
        <v>309</v>
      </c>
      <c r="C243" s="94" t="s">
        <v>310</v>
      </c>
      <c r="D243" s="71" t="s">
        <v>311</v>
      </c>
      <c r="E243" s="7" t="s">
        <v>39</v>
      </c>
      <c r="F243" s="116">
        <v>1</v>
      </c>
      <c r="G243" s="378" t="s">
        <v>769</v>
      </c>
      <c r="H243" s="379"/>
    </row>
    <row r="244" spans="1:8" ht="28.5">
      <c r="A244" s="30" t="s">
        <v>99</v>
      </c>
      <c r="B244" s="127" t="s">
        <v>443</v>
      </c>
      <c r="C244" s="94" t="s">
        <v>442</v>
      </c>
      <c r="D244" s="71" t="s">
        <v>446</v>
      </c>
      <c r="E244" s="7" t="s">
        <v>39</v>
      </c>
      <c r="F244" s="116">
        <v>1</v>
      </c>
      <c r="G244" s="380" t="s">
        <v>770</v>
      </c>
      <c r="H244" s="381"/>
    </row>
    <row r="245" spans="1:8" ht="15.75">
      <c r="A245" s="30" t="s">
        <v>100</v>
      </c>
      <c r="B245" s="127" t="s">
        <v>443</v>
      </c>
      <c r="C245" s="94" t="s">
        <v>445</v>
      </c>
      <c r="D245" s="71" t="s">
        <v>444</v>
      </c>
      <c r="E245" s="7" t="s">
        <v>39</v>
      </c>
      <c r="F245" s="116">
        <v>3</v>
      </c>
      <c r="G245" s="378" t="s">
        <v>771</v>
      </c>
      <c r="H245" s="379"/>
    </row>
    <row r="246" spans="1:8" ht="28.5">
      <c r="A246" s="30" t="s">
        <v>101</v>
      </c>
      <c r="B246" s="127" t="s">
        <v>443</v>
      </c>
      <c r="C246" s="94" t="s">
        <v>312</v>
      </c>
      <c r="D246" s="71" t="s">
        <v>313</v>
      </c>
      <c r="E246" s="7" t="s">
        <v>39</v>
      </c>
      <c r="F246" s="116">
        <v>1</v>
      </c>
      <c r="G246" s="378" t="s">
        <v>773</v>
      </c>
      <c r="H246" s="379"/>
    </row>
    <row r="247" spans="1:8" ht="15.75">
      <c r="A247" s="30" t="s">
        <v>104</v>
      </c>
      <c r="B247" s="127" t="s">
        <v>443</v>
      </c>
      <c r="C247" s="94" t="s">
        <v>314</v>
      </c>
      <c r="D247" s="71" t="s">
        <v>315</v>
      </c>
      <c r="E247" s="7" t="s">
        <v>39</v>
      </c>
      <c r="F247" s="116">
        <v>16</v>
      </c>
      <c r="G247" s="378" t="s">
        <v>772</v>
      </c>
      <c r="H247" s="379"/>
    </row>
    <row r="248" spans="1:8" ht="15.75">
      <c r="A248" s="30" t="s">
        <v>187</v>
      </c>
      <c r="B248" s="127" t="s">
        <v>443</v>
      </c>
      <c r="C248" s="94" t="s">
        <v>316</v>
      </c>
      <c r="D248" s="71" t="s">
        <v>317</v>
      </c>
      <c r="E248" s="7" t="s">
        <v>39</v>
      </c>
      <c r="F248" s="116">
        <v>5</v>
      </c>
      <c r="G248" s="378" t="s">
        <v>774</v>
      </c>
      <c r="H248" s="379"/>
    </row>
    <row r="249" spans="1:8" ht="15.75">
      <c r="A249" s="30" t="s">
        <v>189</v>
      </c>
      <c r="B249" s="127" t="s">
        <v>443</v>
      </c>
      <c r="C249" s="94" t="s">
        <v>318</v>
      </c>
      <c r="D249" s="71" t="s">
        <v>319</v>
      </c>
      <c r="E249" s="72" t="s">
        <v>21</v>
      </c>
      <c r="F249" s="116">
        <v>115</v>
      </c>
      <c r="G249" s="378" t="s">
        <v>898</v>
      </c>
      <c r="H249" s="379"/>
    </row>
    <row r="250" spans="1:8" ht="15.75">
      <c r="A250" s="30" t="s">
        <v>190</v>
      </c>
      <c r="B250" s="127" t="s">
        <v>443</v>
      </c>
      <c r="C250" s="94" t="s">
        <v>320</v>
      </c>
      <c r="D250" s="71" t="s">
        <v>321</v>
      </c>
      <c r="E250" s="72" t="s">
        <v>21</v>
      </c>
      <c r="F250" s="116">
        <v>4</v>
      </c>
      <c r="G250" s="378" t="s">
        <v>775</v>
      </c>
      <c r="H250" s="379"/>
    </row>
    <row r="251" spans="1:8" ht="25.5" customHeight="1">
      <c r="A251" s="30" t="s">
        <v>191</v>
      </c>
      <c r="B251" s="127" t="s">
        <v>443</v>
      </c>
      <c r="C251" s="94" t="s">
        <v>322</v>
      </c>
      <c r="D251" s="71" t="s">
        <v>323</v>
      </c>
      <c r="E251" s="7" t="s">
        <v>39</v>
      </c>
      <c r="F251" s="116">
        <v>1</v>
      </c>
      <c r="G251" s="378" t="s">
        <v>776</v>
      </c>
      <c r="H251" s="379"/>
    </row>
    <row r="252" spans="1:8" ht="15.75">
      <c r="A252" s="30" t="s">
        <v>414</v>
      </c>
      <c r="B252" s="127" t="s">
        <v>309</v>
      </c>
      <c r="C252" s="94" t="s">
        <v>324</v>
      </c>
      <c r="D252" s="71" t="s">
        <v>325</v>
      </c>
      <c r="E252" s="72" t="s">
        <v>39</v>
      </c>
      <c r="F252" s="116">
        <v>1</v>
      </c>
      <c r="G252" s="378" t="s">
        <v>777</v>
      </c>
      <c r="H252" s="379"/>
    </row>
    <row r="253" spans="1:8" ht="15.75">
      <c r="A253" s="30" t="s">
        <v>533</v>
      </c>
      <c r="B253" s="127" t="s">
        <v>443</v>
      </c>
      <c r="C253" s="94" t="s">
        <v>326</v>
      </c>
      <c r="D253" s="71" t="s">
        <v>327</v>
      </c>
      <c r="E253" s="72" t="s">
        <v>21</v>
      </c>
      <c r="F253" s="116">
        <v>91.97</v>
      </c>
      <c r="G253" s="378" t="s">
        <v>778</v>
      </c>
      <c r="H253" s="379"/>
    </row>
    <row r="254" spans="1:8" ht="30.75" customHeight="1">
      <c r="A254" s="30" t="s">
        <v>534</v>
      </c>
      <c r="B254" s="127" t="s">
        <v>309</v>
      </c>
      <c r="C254" s="94" t="s">
        <v>559</v>
      </c>
      <c r="D254" s="71" t="s">
        <v>558</v>
      </c>
      <c r="E254" s="94" t="s">
        <v>39</v>
      </c>
      <c r="F254" s="116">
        <v>1</v>
      </c>
      <c r="G254" s="378" t="s">
        <v>779</v>
      </c>
      <c r="H254" s="379"/>
    </row>
    <row r="255" spans="1:8" ht="28.5">
      <c r="A255" s="30" t="s">
        <v>535</v>
      </c>
      <c r="B255" s="127" t="s">
        <v>443</v>
      </c>
      <c r="C255" s="30" t="s">
        <v>404</v>
      </c>
      <c r="D255" s="67" t="s">
        <v>405</v>
      </c>
      <c r="E255" s="30" t="s">
        <v>21</v>
      </c>
      <c r="F255" s="116">
        <v>60.05</v>
      </c>
      <c r="G255" s="380" t="s">
        <v>780</v>
      </c>
      <c r="H255" s="381"/>
    </row>
    <row r="256" spans="1:8" ht="28.5" customHeight="1">
      <c r="A256" s="30" t="s">
        <v>536</v>
      </c>
      <c r="B256" s="127" t="s">
        <v>443</v>
      </c>
      <c r="C256" s="30" t="s">
        <v>44</v>
      </c>
      <c r="D256" s="67" t="s">
        <v>406</v>
      </c>
      <c r="E256" s="30" t="s">
        <v>21</v>
      </c>
      <c r="F256" s="18">
        <v>115</v>
      </c>
      <c r="G256" s="382" t="s">
        <v>781</v>
      </c>
      <c r="H256" s="383"/>
    </row>
    <row r="257" spans="1:8" ht="32.25" customHeight="1">
      <c r="A257" s="30" t="s">
        <v>537</v>
      </c>
      <c r="B257" s="127" t="s">
        <v>443</v>
      </c>
      <c r="C257" s="7" t="s">
        <v>60</v>
      </c>
      <c r="D257" s="69" t="s">
        <v>59</v>
      </c>
      <c r="E257" s="7" t="s">
        <v>21</v>
      </c>
      <c r="F257" s="18">
        <v>347.81</v>
      </c>
      <c r="G257" s="382" t="s">
        <v>782</v>
      </c>
      <c r="H257" s="383"/>
    </row>
    <row r="258" spans="1:8" ht="30" customHeight="1">
      <c r="A258" s="30" t="s">
        <v>538</v>
      </c>
      <c r="B258" s="127" t="s">
        <v>443</v>
      </c>
      <c r="C258" s="7" t="s">
        <v>561</v>
      </c>
      <c r="D258" s="69" t="s">
        <v>560</v>
      </c>
      <c r="E258" s="7" t="s">
        <v>39</v>
      </c>
      <c r="F258" s="18">
        <v>2</v>
      </c>
      <c r="G258" s="384" t="s">
        <v>783</v>
      </c>
      <c r="H258" s="385"/>
    </row>
    <row r="259" spans="1:8" ht="34.5" customHeight="1">
      <c r="A259" s="30" t="s">
        <v>539</v>
      </c>
      <c r="B259" s="127" t="s">
        <v>443</v>
      </c>
      <c r="C259" s="7" t="s">
        <v>565</v>
      </c>
      <c r="D259" s="69" t="s">
        <v>564</v>
      </c>
      <c r="E259" s="7" t="s">
        <v>19</v>
      </c>
      <c r="F259" s="18">
        <v>6</v>
      </c>
      <c r="G259" s="374" t="s">
        <v>784</v>
      </c>
      <c r="H259" s="375"/>
    </row>
    <row r="260" spans="1:8" ht="30" customHeight="1">
      <c r="A260" s="30" t="s">
        <v>562</v>
      </c>
      <c r="B260" s="127" t="s">
        <v>443</v>
      </c>
      <c r="C260" s="7" t="s">
        <v>569</v>
      </c>
      <c r="D260" s="69" t="s">
        <v>566</v>
      </c>
      <c r="E260" s="7" t="s">
        <v>39</v>
      </c>
      <c r="F260" s="18">
        <v>2</v>
      </c>
      <c r="G260" s="451" t="s">
        <v>785</v>
      </c>
      <c r="H260" s="452"/>
    </row>
    <row r="261" spans="1:8" ht="26.25" customHeight="1">
      <c r="A261" s="30" t="s">
        <v>563</v>
      </c>
      <c r="B261" s="127" t="s">
        <v>443</v>
      </c>
      <c r="C261" s="7" t="s">
        <v>568</v>
      </c>
      <c r="D261" s="69" t="s">
        <v>567</v>
      </c>
      <c r="E261" s="7" t="s">
        <v>39</v>
      </c>
      <c r="F261" s="18">
        <v>2</v>
      </c>
      <c r="G261" s="451" t="s">
        <v>785</v>
      </c>
      <c r="H261" s="452"/>
    </row>
    <row r="262" spans="1:8" ht="29.25">
      <c r="A262" s="7" t="s">
        <v>570</v>
      </c>
      <c r="B262" s="143" t="s">
        <v>443</v>
      </c>
      <c r="C262" s="7" t="s">
        <v>572</v>
      </c>
      <c r="D262" s="69" t="s">
        <v>571</v>
      </c>
      <c r="E262" s="7" t="s">
        <v>47</v>
      </c>
      <c r="F262" s="18">
        <v>1</v>
      </c>
      <c r="G262" s="451" t="s">
        <v>785</v>
      </c>
      <c r="H262" s="452"/>
    </row>
    <row r="263" spans="1:8" ht="45" customHeight="1">
      <c r="A263" s="7" t="s">
        <v>617</v>
      </c>
      <c r="B263" s="143" t="s">
        <v>443</v>
      </c>
      <c r="C263" s="7" t="s">
        <v>616</v>
      </c>
      <c r="D263" s="69" t="s">
        <v>615</v>
      </c>
      <c r="E263" s="7" t="s">
        <v>20</v>
      </c>
      <c r="F263" s="18">
        <f>110.5*0.4*0.8</f>
        <v>35.360000000000007</v>
      </c>
      <c r="G263" s="374" t="s">
        <v>837</v>
      </c>
      <c r="H263" s="375"/>
    </row>
    <row r="264" spans="1:8" ht="45.75" customHeight="1">
      <c r="A264" s="7" t="s">
        <v>618</v>
      </c>
      <c r="B264" s="143" t="s">
        <v>443</v>
      </c>
      <c r="C264" s="7" t="s">
        <v>86</v>
      </c>
      <c r="D264" s="69" t="s">
        <v>85</v>
      </c>
      <c r="E264" s="7" t="s">
        <v>20</v>
      </c>
      <c r="F264" s="18">
        <v>35.36</v>
      </c>
      <c r="G264" s="374" t="s">
        <v>837</v>
      </c>
      <c r="H264" s="375"/>
    </row>
    <row r="265" spans="1:8">
      <c r="A265" s="30"/>
      <c r="B265" s="127"/>
      <c r="C265" s="7"/>
      <c r="D265" s="59"/>
      <c r="E265" s="7"/>
      <c r="F265" s="18"/>
      <c r="G265" s="376"/>
      <c r="H265" s="377"/>
    </row>
    <row r="266" spans="1:8">
      <c r="A266" s="45"/>
      <c r="B266" s="143"/>
      <c r="C266" s="34"/>
      <c r="D266" s="199"/>
      <c r="E266" s="45"/>
      <c r="F266" s="117"/>
      <c r="G266" s="376"/>
      <c r="H266" s="377"/>
    </row>
    <row r="267" spans="1:8">
      <c r="A267" s="30"/>
      <c r="B267" s="127"/>
      <c r="C267" s="7"/>
      <c r="D267" s="59"/>
      <c r="E267" s="7"/>
      <c r="F267" s="18"/>
      <c r="G267" s="376"/>
      <c r="H267" s="377"/>
    </row>
    <row r="268" spans="1:8">
      <c r="A268" s="30"/>
      <c r="B268" s="127"/>
      <c r="C268" s="7"/>
      <c r="D268" s="59"/>
      <c r="E268" s="7"/>
      <c r="F268" s="18"/>
      <c r="G268" s="376"/>
      <c r="H268" s="377"/>
    </row>
    <row r="269" spans="1:8">
      <c r="A269" s="30"/>
      <c r="B269" s="127"/>
      <c r="C269" s="7"/>
      <c r="D269" s="59"/>
      <c r="E269" s="7"/>
      <c r="F269" s="18"/>
      <c r="G269" s="376"/>
      <c r="H269" s="377"/>
    </row>
    <row r="270" spans="1:8">
      <c r="A270" s="191"/>
      <c r="B270" s="192"/>
      <c r="C270" s="192"/>
      <c r="D270" s="193"/>
      <c r="E270" s="192"/>
      <c r="F270" s="192"/>
      <c r="G270" s="192"/>
      <c r="H270" s="194"/>
    </row>
    <row r="271" spans="1:8">
      <c r="A271" s="86"/>
      <c r="B271" s="87"/>
      <c r="C271" s="87"/>
      <c r="D271" s="88"/>
      <c r="E271" s="355"/>
      <c r="F271" s="355"/>
      <c r="G271" s="355"/>
      <c r="H271" s="356"/>
    </row>
    <row r="272" spans="1:8">
      <c r="A272" s="86"/>
      <c r="B272" s="87"/>
      <c r="C272" s="87"/>
      <c r="D272" s="87"/>
      <c r="E272" s="357" t="s">
        <v>22</v>
      </c>
      <c r="F272" s="357"/>
      <c r="G272" s="357"/>
      <c r="H272" s="358"/>
    </row>
    <row r="273" spans="1:8">
      <c r="A273" s="89"/>
      <c r="B273" s="90"/>
      <c r="C273" s="90"/>
      <c r="D273" s="90"/>
      <c r="E273" s="453" t="s">
        <v>583</v>
      </c>
      <c r="F273" s="453"/>
      <c r="G273" s="453"/>
      <c r="H273" s="454"/>
    </row>
  </sheetData>
  <mergeCells count="265">
    <mergeCell ref="G27:H27"/>
    <mergeCell ref="G28:H28"/>
    <mergeCell ref="G29:H29"/>
    <mergeCell ref="G30:H30"/>
    <mergeCell ref="A1:H8"/>
    <mergeCell ref="A10:H10"/>
    <mergeCell ref="B11:H11"/>
    <mergeCell ref="B12:H12"/>
    <mergeCell ref="E13:H13"/>
    <mergeCell ref="G23:H23"/>
    <mergeCell ref="G24:H24"/>
    <mergeCell ref="G25:H25"/>
    <mergeCell ref="G26:H26"/>
    <mergeCell ref="G19:H19"/>
    <mergeCell ref="G20:H20"/>
    <mergeCell ref="G21:H21"/>
    <mergeCell ref="G22:H22"/>
    <mergeCell ref="G14:H14"/>
    <mergeCell ref="G15:H15"/>
    <mergeCell ref="G16:H16"/>
    <mergeCell ref="G17:H17"/>
    <mergeCell ref="G18:H18"/>
    <mergeCell ref="B13:D13"/>
    <mergeCell ref="E272:H272"/>
    <mergeCell ref="E273:H273"/>
    <mergeCell ref="E271:H271"/>
    <mergeCell ref="G35:H35"/>
    <mergeCell ref="G36:H36"/>
    <mergeCell ref="G37:H37"/>
    <mergeCell ref="G39:H39"/>
    <mergeCell ref="G38:H38"/>
    <mergeCell ref="G40:H40"/>
    <mergeCell ref="G261:H261"/>
    <mergeCell ref="G262:H262"/>
    <mergeCell ref="G54:H54"/>
    <mergeCell ref="G55:H55"/>
    <mergeCell ref="G56:H56"/>
    <mergeCell ref="G57:H57"/>
    <mergeCell ref="G58:H58"/>
    <mergeCell ref="G59:H59"/>
    <mergeCell ref="G69:H69"/>
    <mergeCell ref="G70:H70"/>
    <mergeCell ref="G71:H71"/>
    <mergeCell ref="G72:H72"/>
    <mergeCell ref="G73:H73"/>
    <mergeCell ref="G74:H74"/>
    <mergeCell ref="G63:H63"/>
    <mergeCell ref="G31:H31"/>
    <mergeCell ref="G32:H32"/>
    <mergeCell ref="G33:H33"/>
    <mergeCell ref="G34:H34"/>
    <mergeCell ref="G45:H45"/>
    <mergeCell ref="G46:H46"/>
    <mergeCell ref="G47:H47"/>
    <mergeCell ref="G259:H259"/>
    <mergeCell ref="G260:H260"/>
    <mergeCell ref="G42:H42"/>
    <mergeCell ref="G43:H43"/>
    <mergeCell ref="G44:H44"/>
    <mergeCell ref="G48:H48"/>
    <mergeCell ref="G49:H49"/>
    <mergeCell ref="G50:H50"/>
    <mergeCell ref="G60:H60"/>
    <mergeCell ref="G61:H61"/>
    <mergeCell ref="G62:H62"/>
    <mergeCell ref="G51:H51"/>
    <mergeCell ref="G52:H52"/>
    <mergeCell ref="G53:H53"/>
    <mergeCell ref="G41:H41"/>
    <mergeCell ref="G64:H64"/>
    <mergeCell ref="G65:H65"/>
    <mergeCell ref="G66:H66"/>
    <mergeCell ref="G67:H67"/>
    <mergeCell ref="G68:H68"/>
    <mergeCell ref="G81:H81"/>
    <mergeCell ref="G82:H82"/>
    <mergeCell ref="G83:H83"/>
    <mergeCell ref="G84:H84"/>
    <mergeCell ref="G85:H85"/>
    <mergeCell ref="G86:H86"/>
    <mergeCell ref="G75:H75"/>
    <mergeCell ref="G76:H76"/>
    <mergeCell ref="G77:H77"/>
    <mergeCell ref="G78:H78"/>
    <mergeCell ref="G79:H79"/>
    <mergeCell ref="G80:H80"/>
    <mergeCell ref="G93:H93"/>
    <mergeCell ref="G94:H94"/>
    <mergeCell ref="G95:H95"/>
    <mergeCell ref="G99:H99"/>
    <mergeCell ref="G103:H103"/>
    <mergeCell ref="G104:H104"/>
    <mergeCell ref="G87:H87"/>
    <mergeCell ref="G88:H88"/>
    <mergeCell ref="G89:H89"/>
    <mergeCell ref="G90:H90"/>
    <mergeCell ref="G91:H91"/>
    <mergeCell ref="G92:H92"/>
    <mergeCell ref="G96:H96"/>
    <mergeCell ref="G97:H97"/>
    <mergeCell ref="G98:H98"/>
    <mergeCell ref="G100:H100"/>
    <mergeCell ref="G101:H101"/>
    <mergeCell ref="G102:H102"/>
    <mergeCell ref="G111:H111"/>
    <mergeCell ref="G112:H112"/>
    <mergeCell ref="G113:H113"/>
    <mergeCell ref="G114:H114"/>
    <mergeCell ref="G115:H115"/>
    <mergeCell ref="G116:H116"/>
    <mergeCell ref="G105:H105"/>
    <mergeCell ref="G106:H106"/>
    <mergeCell ref="G107:H107"/>
    <mergeCell ref="G108:H108"/>
    <mergeCell ref="G109:H109"/>
    <mergeCell ref="G110:H110"/>
    <mergeCell ref="G123:H123"/>
    <mergeCell ref="G124:H124"/>
    <mergeCell ref="G125:H125"/>
    <mergeCell ref="G126:H126"/>
    <mergeCell ref="G127:H127"/>
    <mergeCell ref="G128:H128"/>
    <mergeCell ref="G117:H117"/>
    <mergeCell ref="G118:H118"/>
    <mergeCell ref="G119:H119"/>
    <mergeCell ref="G120:H120"/>
    <mergeCell ref="G121:H121"/>
    <mergeCell ref="G122:H122"/>
    <mergeCell ref="G135:H135"/>
    <mergeCell ref="G136:H136"/>
    <mergeCell ref="G137:H137"/>
    <mergeCell ref="G138:H138"/>
    <mergeCell ref="G139:H139"/>
    <mergeCell ref="G140:H140"/>
    <mergeCell ref="G129:H129"/>
    <mergeCell ref="G130:H130"/>
    <mergeCell ref="G132:H132"/>
    <mergeCell ref="G133:H133"/>
    <mergeCell ref="G134:H134"/>
    <mergeCell ref="G131:H131"/>
    <mergeCell ref="G146:H146"/>
    <mergeCell ref="G147:H147"/>
    <mergeCell ref="G148:H148"/>
    <mergeCell ref="G152:H152"/>
    <mergeCell ref="G153:H153"/>
    <mergeCell ref="G155:H155"/>
    <mergeCell ref="G141:H141"/>
    <mergeCell ref="G142:H142"/>
    <mergeCell ref="G143:H143"/>
    <mergeCell ref="G144:H144"/>
    <mergeCell ref="G145:H145"/>
    <mergeCell ref="G154:H154"/>
    <mergeCell ref="G149:H149"/>
    <mergeCell ref="G150:H150"/>
    <mergeCell ref="G151:H151"/>
    <mergeCell ref="G167:H167"/>
    <mergeCell ref="G171:H171"/>
    <mergeCell ref="G178:H178"/>
    <mergeCell ref="G162:H162"/>
    <mergeCell ref="G163:H163"/>
    <mergeCell ref="G164:H164"/>
    <mergeCell ref="G165:H165"/>
    <mergeCell ref="G166:H166"/>
    <mergeCell ref="G156:H156"/>
    <mergeCell ref="G157:H157"/>
    <mergeCell ref="G158:H158"/>
    <mergeCell ref="G159:H159"/>
    <mergeCell ref="G160:H160"/>
    <mergeCell ref="G161:H161"/>
    <mergeCell ref="G168:H168"/>
    <mergeCell ref="G169:H169"/>
    <mergeCell ref="G170:H170"/>
    <mergeCell ref="G179:H179"/>
    <mergeCell ref="G180:H180"/>
    <mergeCell ref="G181:H181"/>
    <mergeCell ref="G175:H175"/>
    <mergeCell ref="G176:H176"/>
    <mergeCell ref="G177:H177"/>
    <mergeCell ref="G172:H172"/>
    <mergeCell ref="G173:H173"/>
    <mergeCell ref="G174:H174"/>
    <mergeCell ref="G182:H182"/>
    <mergeCell ref="G183:H183"/>
    <mergeCell ref="G184:H184"/>
    <mergeCell ref="G185:H185"/>
    <mergeCell ref="G186:H186"/>
    <mergeCell ref="G187:H187"/>
    <mergeCell ref="G195:H195"/>
    <mergeCell ref="G197:H197"/>
    <mergeCell ref="G188:H188"/>
    <mergeCell ref="G189:H189"/>
    <mergeCell ref="G190:H190"/>
    <mergeCell ref="G191:H191"/>
    <mergeCell ref="G192:H192"/>
    <mergeCell ref="G200:H200"/>
    <mergeCell ref="G201:H201"/>
    <mergeCell ref="G202:H202"/>
    <mergeCell ref="G204:H204"/>
    <mergeCell ref="G203:H203"/>
    <mergeCell ref="G193:H193"/>
    <mergeCell ref="G194:H194"/>
    <mergeCell ref="G196:H196"/>
    <mergeCell ref="G198:H198"/>
    <mergeCell ref="G199:H199"/>
    <mergeCell ref="G210:H210"/>
    <mergeCell ref="G211:H211"/>
    <mergeCell ref="G212:H212"/>
    <mergeCell ref="G214:H214"/>
    <mergeCell ref="G215:H215"/>
    <mergeCell ref="G216:H216"/>
    <mergeCell ref="G205:H205"/>
    <mergeCell ref="G206:H206"/>
    <mergeCell ref="G207:H207"/>
    <mergeCell ref="G208:H208"/>
    <mergeCell ref="G209:H209"/>
    <mergeCell ref="G213:H213"/>
    <mergeCell ref="G225:H225"/>
    <mergeCell ref="G226:H226"/>
    <mergeCell ref="G227:H227"/>
    <mergeCell ref="G217:H217"/>
    <mergeCell ref="G218:H218"/>
    <mergeCell ref="G219:H219"/>
    <mergeCell ref="G220:H220"/>
    <mergeCell ref="G221:H221"/>
    <mergeCell ref="G222:H222"/>
    <mergeCell ref="G223:H223"/>
    <mergeCell ref="G224:H224"/>
    <mergeCell ref="G240:H240"/>
    <mergeCell ref="G234:H234"/>
    <mergeCell ref="G235:H235"/>
    <mergeCell ref="G236:H236"/>
    <mergeCell ref="G237:H237"/>
    <mergeCell ref="G238:H238"/>
    <mergeCell ref="G228:H228"/>
    <mergeCell ref="G229:H229"/>
    <mergeCell ref="G230:H230"/>
    <mergeCell ref="G231:H231"/>
    <mergeCell ref="G232:H232"/>
    <mergeCell ref="G233:H233"/>
    <mergeCell ref="G239:H239"/>
    <mergeCell ref="G247:H247"/>
    <mergeCell ref="G248:H248"/>
    <mergeCell ref="G249:H249"/>
    <mergeCell ref="G250:H250"/>
    <mergeCell ref="G251:H251"/>
    <mergeCell ref="G252:H252"/>
    <mergeCell ref="G241:H241"/>
    <mergeCell ref="G242:H242"/>
    <mergeCell ref="G243:H243"/>
    <mergeCell ref="G244:H244"/>
    <mergeCell ref="G245:H245"/>
    <mergeCell ref="G246:H246"/>
    <mergeCell ref="G264:H264"/>
    <mergeCell ref="G267:H267"/>
    <mergeCell ref="G268:H268"/>
    <mergeCell ref="G269:H269"/>
    <mergeCell ref="G265:H265"/>
    <mergeCell ref="G266:H266"/>
    <mergeCell ref="G263:H263"/>
    <mergeCell ref="G253:H253"/>
    <mergeCell ref="G254:H254"/>
    <mergeCell ref="G255:H255"/>
    <mergeCell ref="G256:H256"/>
    <mergeCell ref="G257:H257"/>
    <mergeCell ref="G258:H258"/>
  </mergeCells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headerFooter>
    <oddFooter>&amp;C&amp;"Arial,Normal"&amp;8Prefeitura Municipal da Estância Turística de Paraguaçu Paulista - SP - Av. Siqueira Campos 1430 - CEP 19.700-000Fone: (18)3361-9100 - Fax: (18)3361-1331 – www.eparaguacu.sp.gov.br&amp;R&amp;P</oddFooter>
  </headerFooter>
  <rowBreaks count="16" manualBreakCount="16">
    <brk id="23" max="7" man="1"/>
    <brk id="36" max="7" man="1"/>
    <brk id="46" max="7" man="1"/>
    <brk id="65" max="7" man="1"/>
    <brk id="76" max="7" man="1"/>
    <brk id="112" max="7" man="1"/>
    <brk id="129" max="7" man="1"/>
    <brk id="145" max="7" man="1"/>
    <brk id="160" max="7" man="1"/>
    <brk id="175" max="7" man="1"/>
    <brk id="190" max="7" man="1"/>
    <brk id="202" max="7" man="1"/>
    <brk id="213" max="7" man="1"/>
    <brk id="228" max="7" man="1"/>
    <brk id="240" max="7" man="1"/>
    <brk id="257" max="7" man="1"/>
  </rowBreaks>
  <colBreaks count="1" manualBreakCount="1">
    <brk id="3" max="642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76"/>
  <sheetViews>
    <sheetView view="pageBreakPreview" zoomScale="55" zoomScaleNormal="120" zoomScaleSheetLayoutView="55" workbookViewId="0">
      <selection activeCell="L43" sqref="L43:L44"/>
    </sheetView>
  </sheetViews>
  <sheetFormatPr defaultRowHeight="12.75"/>
  <cols>
    <col min="1" max="1" width="8.140625" style="145" customWidth="1"/>
    <col min="2" max="2" width="10.7109375" style="145" customWidth="1"/>
    <col min="3" max="3" width="38.7109375" style="145" customWidth="1"/>
    <col min="4" max="4" width="21" style="145" customWidth="1"/>
    <col min="5" max="5" width="20.7109375" style="145" customWidth="1"/>
    <col min="6" max="6" width="21.42578125" style="145" customWidth="1"/>
    <col min="7" max="7" width="20.85546875" style="145" customWidth="1"/>
    <col min="8" max="8" width="20.28515625" style="145" customWidth="1"/>
    <col min="9" max="9" width="22.140625" style="145" customWidth="1"/>
    <col min="10" max="10" width="22" style="145" customWidth="1"/>
    <col min="11" max="11" width="22.42578125" style="145" customWidth="1"/>
    <col min="12" max="12" width="22" style="145" customWidth="1"/>
    <col min="13" max="13" width="20.5703125" style="145" customWidth="1"/>
    <col min="14" max="14" width="26.28515625" style="145" customWidth="1"/>
    <col min="15" max="15" width="18.7109375" style="145" customWidth="1"/>
    <col min="16" max="16" width="12.5703125" style="145" customWidth="1"/>
    <col min="17" max="17" width="13.42578125" style="145" customWidth="1"/>
    <col min="18" max="18" width="10.7109375" style="145" customWidth="1"/>
    <col min="19" max="1023" width="8.42578125" style="145" customWidth="1"/>
    <col min="1024" max="16384" width="9.140625" style="145"/>
  </cols>
  <sheetData>
    <row r="1" spans="1:18" ht="12.75" customHeight="1">
      <c r="A1" s="478"/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189"/>
      <c r="P1" s="189"/>
      <c r="Q1" s="189"/>
      <c r="R1" s="189"/>
    </row>
    <row r="2" spans="1:18" ht="12.75" customHeight="1">
      <c r="A2" s="478"/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189"/>
      <c r="P2" s="189"/>
      <c r="Q2" s="189"/>
      <c r="R2" s="189"/>
    </row>
    <row r="3" spans="1:18" ht="12.75" customHeight="1">
      <c r="A3" s="478"/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189"/>
      <c r="P3" s="189"/>
      <c r="Q3" s="189"/>
      <c r="R3" s="189"/>
    </row>
    <row r="4" spans="1:18" ht="12.75" customHeight="1">
      <c r="A4" s="478"/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189"/>
      <c r="P4" s="189"/>
      <c r="Q4" s="189"/>
      <c r="R4" s="189"/>
    </row>
    <row r="5" spans="1:18" ht="12.75" customHeight="1">
      <c r="A5" s="478"/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78"/>
      <c r="O5" s="189"/>
      <c r="P5" s="189"/>
      <c r="Q5" s="189"/>
      <c r="R5" s="189"/>
    </row>
    <row r="6" spans="1:18" ht="12.75" customHeight="1">
      <c r="A6" s="478"/>
      <c r="B6" s="478"/>
      <c r="C6" s="478"/>
      <c r="D6" s="478"/>
      <c r="E6" s="478"/>
      <c r="F6" s="478"/>
      <c r="G6" s="478"/>
      <c r="H6" s="478"/>
      <c r="I6" s="478"/>
      <c r="J6" s="478"/>
      <c r="K6" s="478"/>
      <c r="L6" s="478"/>
      <c r="M6" s="478"/>
      <c r="N6" s="478"/>
      <c r="O6" s="189"/>
      <c r="P6" s="189"/>
      <c r="Q6" s="189"/>
      <c r="R6" s="189"/>
    </row>
    <row r="7" spans="1:18" ht="18" customHeight="1">
      <c r="A7" s="478" t="s">
        <v>474</v>
      </c>
      <c r="B7" s="478"/>
      <c r="C7" s="478"/>
      <c r="D7" s="478"/>
      <c r="E7" s="478"/>
      <c r="F7" s="478"/>
      <c r="G7" s="478"/>
      <c r="H7" s="478"/>
      <c r="I7" s="478"/>
      <c r="J7" s="478"/>
      <c r="K7" s="478"/>
      <c r="L7" s="478"/>
      <c r="M7" s="478"/>
      <c r="N7" s="478"/>
      <c r="O7" s="303"/>
      <c r="P7" s="303"/>
      <c r="Q7" s="303"/>
      <c r="R7" s="303"/>
    </row>
    <row r="8" spans="1:18" ht="15" customHeight="1">
      <c r="A8" s="480" t="s">
        <v>899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  <c r="N8" s="480"/>
      <c r="O8" s="304"/>
      <c r="P8" s="304"/>
      <c r="Q8" s="304"/>
      <c r="R8" s="304"/>
    </row>
    <row r="9" spans="1:18">
      <c r="A9" s="480"/>
      <c r="B9" s="480"/>
      <c r="C9" s="480"/>
      <c r="D9" s="480"/>
      <c r="E9" s="480"/>
      <c r="F9" s="480"/>
      <c r="G9" s="480"/>
      <c r="H9" s="480"/>
      <c r="I9" s="480"/>
      <c r="J9" s="480"/>
      <c r="K9" s="480"/>
      <c r="L9" s="480"/>
      <c r="M9" s="480"/>
      <c r="N9" s="480"/>
      <c r="O9" s="304"/>
      <c r="P9" s="304"/>
      <c r="Q9" s="304"/>
      <c r="R9" s="304"/>
    </row>
    <row r="10" spans="1:18" ht="12" customHeight="1">
      <c r="A10" s="481" t="s">
        <v>475</v>
      </c>
      <c r="B10" s="481"/>
      <c r="C10" s="481"/>
      <c r="D10" s="481"/>
      <c r="E10" s="481"/>
      <c r="F10" s="481"/>
      <c r="G10" s="481"/>
      <c r="H10" s="481"/>
      <c r="I10" s="481"/>
      <c r="J10" s="481"/>
      <c r="K10" s="481"/>
      <c r="L10" s="481"/>
      <c r="M10" s="481"/>
      <c r="N10" s="481"/>
      <c r="O10" s="305"/>
      <c r="P10" s="305"/>
      <c r="Q10" s="305"/>
      <c r="R10" s="305"/>
    </row>
    <row r="11" spans="1:18" ht="8.1" customHeight="1">
      <c r="A11" s="479"/>
      <c r="B11" s="479"/>
      <c r="C11" s="479"/>
      <c r="D11" s="479"/>
      <c r="E11" s="479"/>
      <c r="F11" s="479"/>
      <c r="G11" s="479"/>
      <c r="H11" s="479"/>
      <c r="I11" s="479"/>
      <c r="J11" s="479"/>
      <c r="K11" s="479"/>
      <c r="L11" s="479"/>
      <c r="M11" s="479"/>
      <c r="N11" s="479"/>
      <c r="O11" s="306"/>
      <c r="P11" s="306"/>
      <c r="Q11" s="306"/>
      <c r="R11" s="306"/>
    </row>
    <row r="12" spans="1:18" ht="17.25" customHeight="1">
      <c r="A12" s="476" t="s">
        <v>573</v>
      </c>
      <c r="B12" s="476"/>
      <c r="C12" s="476"/>
      <c r="D12" s="476"/>
      <c r="E12" s="476"/>
      <c r="F12" s="476"/>
      <c r="G12" s="476"/>
      <c r="H12" s="476"/>
      <c r="I12" s="476"/>
      <c r="J12" s="476"/>
      <c r="K12" s="476"/>
      <c r="L12" s="476"/>
      <c r="M12" s="476"/>
      <c r="N12" s="476"/>
      <c r="O12" s="305"/>
      <c r="P12" s="305"/>
      <c r="Q12" s="305"/>
      <c r="R12" s="305"/>
    </row>
    <row r="13" spans="1:18" ht="18" customHeight="1">
      <c r="A13" s="476" t="s">
        <v>574</v>
      </c>
      <c r="B13" s="476"/>
      <c r="C13" s="476"/>
      <c r="D13" s="476"/>
      <c r="E13" s="476"/>
      <c r="F13" s="476"/>
      <c r="G13" s="476"/>
      <c r="H13" s="476"/>
      <c r="I13" s="476"/>
      <c r="J13" s="476"/>
      <c r="K13" s="476"/>
      <c r="L13" s="476"/>
      <c r="M13" s="476"/>
      <c r="N13" s="476"/>
      <c r="O13" s="305"/>
      <c r="P13" s="305"/>
      <c r="Q13" s="305"/>
      <c r="R13" s="305"/>
    </row>
    <row r="14" spans="1:18" ht="15" customHeight="1">
      <c r="A14" s="476" t="s">
        <v>476</v>
      </c>
      <c r="B14" s="476"/>
      <c r="C14" s="476"/>
      <c r="D14" s="476"/>
      <c r="E14" s="476"/>
      <c r="F14" s="476"/>
      <c r="G14" s="476"/>
      <c r="H14" s="476"/>
      <c r="I14" s="476"/>
      <c r="J14" s="476"/>
      <c r="K14" s="476"/>
      <c r="L14" s="476"/>
      <c r="M14" s="476"/>
      <c r="N14" s="476"/>
      <c r="O14" s="305"/>
      <c r="P14" s="305"/>
      <c r="Q14" s="305"/>
      <c r="R14" s="305"/>
    </row>
    <row r="15" spans="1:18" ht="15" customHeight="1">
      <c r="A15" s="476" t="s">
        <v>477</v>
      </c>
      <c r="B15" s="476"/>
      <c r="C15" s="476"/>
      <c r="D15" s="476"/>
      <c r="E15" s="476"/>
      <c r="F15" s="476"/>
      <c r="G15" s="476"/>
      <c r="H15" s="476"/>
      <c r="I15" s="476"/>
      <c r="J15" s="476"/>
      <c r="K15" s="476"/>
      <c r="L15" s="476"/>
      <c r="M15" s="476"/>
      <c r="N15" s="476"/>
      <c r="O15" s="305"/>
      <c r="P15" s="305"/>
      <c r="Q15" s="305"/>
      <c r="R15" s="305"/>
    </row>
    <row r="16" spans="1:18" ht="4.5" customHeight="1">
      <c r="A16" s="477"/>
      <c r="B16" s="477"/>
      <c r="C16" s="477"/>
      <c r="D16" s="477"/>
      <c r="E16" s="477"/>
      <c r="F16" s="477"/>
      <c r="G16" s="477"/>
      <c r="H16" s="477"/>
      <c r="I16" s="477"/>
      <c r="J16" s="477"/>
      <c r="K16" s="477"/>
      <c r="L16" s="477"/>
      <c r="M16" s="477"/>
      <c r="N16" s="477"/>
      <c r="O16" s="189"/>
      <c r="P16" s="189"/>
      <c r="Q16" s="189"/>
      <c r="R16" s="189"/>
    </row>
    <row r="17" spans="1:27" ht="15" customHeight="1">
      <c r="A17" s="340"/>
      <c r="B17" s="341"/>
      <c r="C17" s="342" t="s">
        <v>478</v>
      </c>
      <c r="D17" s="343" t="s">
        <v>479</v>
      </c>
      <c r="E17" s="343" t="s">
        <v>480</v>
      </c>
      <c r="F17" s="343" t="s">
        <v>481</v>
      </c>
      <c r="G17" s="343" t="s">
        <v>482</v>
      </c>
      <c r="H17" s="343" t="s">
        <v>483</v>
      </c>
      <c r="I17" s="343" t="s">
        <v>484</v>
      </c>
      <c r="J17" s="343" t="s">
        <v>789</v>
      </c>
      <c r="K17" s="343" t="s">
        <v>790</v>
      </c>
      <c r="L17" s="343" t="s">
        <v>838</v>
      </c>
      <c r="M17" s="292" t="s">
        <v>839</v>
      </c>
      <c r="N17" s="291" t="s">
        <v>485</v>
      </c>
    </row>
    <row r="18" spans="1:27" ht="15" customHeight="1" thickBot="1">
      <c r="A18" s="472" t="s">
        <v>486</v>
      </c>
      <c r="B18" s="473"/>
      <c r="C18" s="474"/>
      <c r="D18" s="172">
        <v>30</v>
      </c>
      <c r="E18" s="173">
        <v>60</v>
      </c>
      <c r="F18" s="172">
        <v>90</v>
      </c>
      <c r="G18" s="173">
        <v>120</v>
      </c>
      <c r="H18" s="172">
        <v>150</v>
      </c>
      <c r="I18" s="173">
        <v>180</v>
      </c>
      <c r="J18" s="172">
        <v>210</v>
      </c>
      <c r="K18" s="173">
        <v>240</v>
      </c>
      <c r="L18" s="172">
        <v>270</v>
      </c>
      <c r="M18" s="309">
        <v>300</v>
      </c>
      <c r="N18" s="172"/>
    </row>
    <row r="19" spans="1:27" ht="15" customHeight="1">
      <c r="A19" s="468" t="s">
        <v>61</v>
      </c>
      <c r="B19" s="470" t="s">
        <v>487</v>
      </c>
      <c r="C19" s="471" t="s">
        <v>488</v>
      </c>
      <c r="D19" s="179">
        <f>D20/N20</f>
        <v>1</v>
      </c>
      <c r="E19" s="180"/>
      <c r="F19" s="180"/>
      <c r="G19" s="180"/>
      <c r="H19" s="180"/>
      <c r="I19" s="180"/>
      <c r="J19" s="200"/>
      <c r="K19" s="200"/>
      <c r="L19" s="180"/>
      <c r="M19" s="296"/>
      <c r="N19" s="146">
        <f>'CRONOGRAMA FÍSICOFINANCEIRO DEF'!N20/$N$68</f>
        <v>3.6025730330768883E-2</v>
      </c>
      <c r="O19" s="147"/>
    </row>
    <row r="20" spans="1:27" ht="15" customHeight="1">
      <c r="A20" s="468"/>
      <c r="B20" s="459"/>
      <c r="C20" s="460"/>
      <c r="D20" s="177">
        <v>21016.13</v>
      </c>
      <c r="E20" s="152"/>
      <c r="F20" s="181"/>
      <c r="G20" s="181"/>
      <c r="H20" s="181"/>
      <c r="I20" s="181"/>
      <c r="J20" s="201"/>
      <c r="K20" s="201"/>
      <c r="L20" s="181"/>
      <c r="M20" s="297"/>
      <c r="N20" s="148">
        <f>SUM(D20:I20)</f>
        <v>21016.13</v>
      </c>
      <c r="O20" s="149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</row>
    <row r="21" spans="1:27" ht="15" customHeight="1">
      <c r="A21" s="468"/>
      <c r="B21" s="459" t="s">
        <v>489</v>
      </c>
      <c r="C21" s="460" t="s">
        <v>490</v>
      </c>
      <c r="D21" s="176"/>
      <c r="E21" s="151">
        <f>E22/N22</f>
        <v>1</v>
      </c>
      <c r="F21" s="151"/>
      <c r="G21" s="151"/>
      <c r="H21" s="151"/>
      <c r="I21" s="151"/>
      <c r="J21" s="202"/>
      <c r="K21" s="202"/>
      <c r="L21" s="151"/>
      <c r="M21" s="186"/>
      <c r="N21" s="146">
        <f>N22/$N$68</f>
        <v>2.261056570400486E-2</v>
      </c>
      <c r="O21" s="147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</row>
    <row r="22" spans="1:27" ht="15" customHeight="1">
      <c r="A22" s="468"/>
      <c r="B22" s="459"/>
      <c r="C22" s="460"/>
      <c r="D22" s="177"/>
      <c r="E22" s="152">
        <v>13190.2</v>
      </c>
      <c r="F22" s="152"/>
      <c r="G22" s="181"/>
      <c r="H22" s="181"/>
      <c r="I22" s="181"/>
      <c r="J22" s="201"/>
      <c r="K22" s="201"/>
      <c r="L22" s="181"/>
      <c r="M22" s="310"/>
      <c r="N22" s="148">
        <f>SUM(D22:I22)</f>
        <v>13190.2</v>
      </c>
      <c r="O22" s="149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</row>
    <row r="23" spans="1:27" ht="15" customHeight="1">
      <c r="A23" s="468"/>
      <c r="B23" s="459" t="s">
        <v>491</v>
      </c>
      <c r="C23" s="460" t="s">
        <v>492</v>
      </c>
      <c r="D23" s="176"/>
      <c r="E23" s="176"/>
      <c r="F23" s="151">
        <f>F24/N24</f>
        <v>1</v>
      </c>
      <c r="G23" s="151"/>
      <c r="H23" s="151"/>
      <c r="I23" s="151"/>
      <c r="J23" s="202"/>
      <c r="K23" s="202"/>
      <c r="L23" s="151"/>
      <c r="M23" s="186"/>
      <c r="N23" s="146">
        <f>N24/$N$68</f>
        <v>2.9279227235722495E-2</v>
      </c>
      <c r="O23" s="147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</row>
    <row r="24" spans="1:27" ht="15" customHeight="1">
      <c r="A24" s="468"/>
      <c r="B24" s="459"/>
      <c r="C24" s="460"/>
      <c r="D24" s="182"/>
      <c r="E24" s="182"/>
      <c r="F24" s="152">
        <v>17080.46</v>
      </c>
      <c r="G24" s="152"/>
      <c r="H24" s="152"/>
      <c r="I24" s="152"/>
      <c r="J24" s="203"/>
      <c r="K24" s="203"/>
      <c r="L24" s="152"/>
      <c r="M24" s="187"/>
      <c r="N24" s="148">
        <f>SUM(F24:I24)</f>
        <v>17080.46</v>
      </c>
      <c r="O24" s="149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</row>
    <row r="25" spans="1:27" ht="15" customHeight="1">
      <c r="A25" s="468"/>
      <c r="B25" s="459" t="s">
        <v>493</v>
      </c>
      <c r="C25" s="460" t="s">
        <v>494</v>
      </c>
      <c r="D25" s="176"/>
      <c r="E25" s="151"/>
      <c r="F25" s="151"/>
      <c r="G25" s="151">
        <f>G26/N26</f>
        <v>1</v>
      </c>
      <c r="H25" s="151"/>
      <c r="I25" s="151"/>
      <c r="J25" s="151"/>
      <c r="K25" s="202"/>
      <c r="L25" s="151"/>
      <c r="M25" s="186"/>
      <c r="N25" s="146">
        <f>N26/$N$68</f>
        <v>4.2011268290538938E-2</v>
      </c>
      <c r="O25" s="147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</row>
    <row r="26" spans="1:27" ht="15" customHeight="1">
      <c r="A26" s="468"/>
      <c r="B26" s="459"/>
      <c r="C26" s="460"/>
      <c r="D26" s="182"/>
      <c r="E26" s="152"/>
      <c r="F26" s="152"/>
      <c r="G26" s="152">
        <v>24507.88</v>
      </c>
      <c r="H26" s="152"/>
      <c r="I26" s="152"/>
      <c r="J26" s="152"/>
      <c r="K26" s="203"/>
      <c r="L26" s="152"/>
      <c r="M26" s="187"/>
      <c r="N26" s="148">
        <f>SUM(D26:M26)</f>
        <v>24507.88</v>
      </c>
      <c r="O26" s="149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</row>
    <row r="27" spans="1:27" ht="15" customHeight="1">
      <c r="A27" s="468"/>
      <c r="B27" s="459" t="s">
        <v>495</v>
      </c>
      <c r="C27" s="460" t="s">
        <v>496</v>
      </c>
      <c r="D27" s="176"/>
      <c r="E27" s="151"/>
      <c r="F27" s="151"/>
      <c r="G27" s="151">
        <f>G28/N28</f>
        <v>0.18686800852556962</v>
      </c>
      <c r="H27" s="151">
        <f>H28/N28</f>
        <v>0.52243411698537023</v>
      </c>
      <c r="I27" s="151">
        <f>I28/N28</f>
        <v>0.2906978744890602</v>
      </c>
      <c r="J27" s="151"/>
      <c r="K27" s="151"/>
      <c r="L27" s="151"/>
      <c r="M27" s="151"/>
      <c r="N27" s="146">
        <f>N28/$N$68</f>
        <v>0.26201996474108025</v>
      </c>
      <c r="O27" s="149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</row>
    <row r="28" spans="1:27" ht="15" customHeight="1">
      <c r="A28" s="468"/>
      <c r="B28" s="459"/>
      <c r="C28" s="460"/>
      <c r="D28" s="182"/>
      <c r="E28" s="181"/>
      <c r="F28" s="152"/>
      <c r="G28" s="152">
        <v>28563.360000000001</v>
      </c>
      <c r="H28" s="152">
        <v>79855.69</v>
      </c>
      <c r="I28" s="152">
        <v>44434.080000000002</v>
      </c>
      <c r="J28" s="152"/>
      <c r="K28" s="152"/>
      <c r="L28" s="152"/>
      <c r="M28" s="152"/>
      <c r="N28" s="148">
        <f>SUM(F28:M28)</f>
        <v>152853.13</v>
      </c>
      <c r="O28" s="149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</row>
    <row r="29" spans="1:27" ht="15" customHeight="1">
      <c r="A29" s="468"/>
      <c r="B29" s="459" t="s">
        <v>497</v>
      </c>
      <c r="C29" s="460" t="s">
        <v>499</v>
      </c>
      <c r="D29" s="176"/>
      <c r="E29" s="151"/>
      <c r="F29" s="151"/>
      <c r="G29" s="151">
        <f>G30/N30</f>
        <v>0.75</v>
      </c>
      <c r="H29" s="151">
        <f>H30/N30</f>
        <v>0.25</v>
      </c>
      <c r="I29" s="151"/>
      <c r="J29" s="151"/>
      <c r="K29" s="202"/>
      <c r="L29" s="151"/>
      <c r="M29" s="186"/>
      <c r="N29" s="146">
        <f>N30/$N$68</f>
        <v>3.1587115594498704E-3</v>
      </c>
      <c r="O29" s="147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</row>
    <row r="30" spans="1:27" ht="15" customHeight="1">
      <c r="A30" s="468"/>
      <c r="B30" s="459"/>
      <c r="C30" s="460"/>
      <c r="D30" s="182"/>
      <c r="E30" s="181"/>
      <c r="F30" s="181"/>
      <c r="G30" s="337">
        <v>1382.01</v>
      </c>
      <c r="H30" s="153">
        <v>460.67</v>
      </c>
      <c r="I30" s="152"/>
      <c r="J30" s="153"/>
      <c r="K30" s="201"/>
      <c r="L30" s="181"/>
      <c r="M30" s="310"/>
      <c r="N30" s="148">
        <f>SUM(G30:M30)</f>
        <v>1842.68</v>
      </c>
      <c r="O30" s="149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</row>
    <row r="31" spans="1:27" ht="15" customHeight="1">
      <c r="A31" s="468"/>
      <c r="B31" s="459" t="s">
        <v>498</v>
      </c>
      <c r="C31" s="460" t="s">
        <v>501</v>
      </c>
      <c r="D31" s="176"/>
      <c r="E31" s="151"/>
      <c r="F31" s="151"/>
      <c r="G31" s="151"/>
      <c r="H31" s="151"/>
      <c r="I31" s="151"/>
      <c r="J31" s="151"/>
      <c r="K31" s="151"/>
      <c r="L31" s="151"/>
      <c r="M31" s="186"/>
      <c r="N31" s="146">
        <f>N32/$N$68</f>
        <v>7.73667315066376E-4</v>
      </c>
      <c r="O31" s="147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</row>
    <row r="32" spans="1:27" ht="15" customHeight="1">
      <c r="A32" s="468"/>
      <c r="B32" s="459"/>
      <c r="C32" s="460"/>
      <c r="D32" s="182"/>
      <c r="E32" s="152"/>
      <c r="F32" s="152"/>
      <c r="G32" s="152"/>
      <c r="H32" s="152"/>
      <c r="I32" s="152">
        <v>451.33</v>
      </c>
      <c r="J32" s="152"/>
      <c r="K32" s="152"/>
      <c r="L32" s="152"/>
      <c r="M32" s="187"/>
      <c r="N32" s="148">
        <f>SUM(E32:K32)</f>
        <v>451.33</v>
      </c>
      <c r="O32" s="149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</row>
    <row r="33" spans="1:27" ht="15" customHeight="1">
      <c r="A33" s="468"/>
      <c r="B33" s="459" t="s">
        <v>500</v>
      </c>
      <c r="C33" s="460" t="s">
        <v>503</v>
      </c>
      <c r="D33" s="176"/>
      <c r="E33" s="151"/>
      <c r="F33" s="151"/>
      <c r="G33" s="151"/>
      <c r="H33" s="151"/>
      <c r="I33" s="151">
        <f>I34/N34</f>
        <v>0.33898441870943147</v>
      </c>
      <c r="J33" s="151">
        <f>J34/N34</f>
        <v>0.66101558129056859</v>
      </c>
      <c r="K33" s="151"/>
      <c r="L33" s="151"/>
      <c r="M33" s="151"/>
      <c r="N33" s="146">
        <f>N34/$N$68</f>
        <v>3.4622096609111107E-2</v>
      </c>
      <c r="O33" s="149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</row>
    <row r="34" spans="1:27" ht="15" customHeight="1">
      <c r="A34" s="468"/>
      <c r="B34" s="459"/>
      <c r="C34" s="460"/>
      <c r="D34" s="182"/>
      <c r="E34" s="181"/>
      <c r="F34" s="181"/>
      <c r="G34" s="153"/>
      <c r="H34" s="153"/>
      <c r="I34" s="153">
        <f>4026.55+2820.02</f>
        <v>6846.57</v>
      </c>
      <c r="J34" s="153">
        <f>6977.05+6373.68</f>
        <v>13350.73</v>
      </c>
      <c r="K34" s="153"/>
      <c r="L34" s="153"/>
      <c r="M34" s="153"/>
      <c r="N34" s="148">
        <f>SUM(G34:M34)</f>
        <v>20197.3</v>
      </c>
      <c r="O34" s="149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</row>
    <row r="35" spans="1:27" ht="15" customHeight="1">
      <c r="A35" s="468"/>
      <c r="B35" s="459" t="s">
        <v>502</v>
      </c>
      <c r="C35" s="460" t="s">
        <v>505</v>
      </c>
      <c r="D35" s="176"/>
      <c r="E35" s="151"/>
      <c r="F35" s="151"/>
      <c r="G35" s="151"/>
      <c r="H35" s="151"/>
      <c r="I35" s="151"/>
      <c r="J35" s="151"/>
      <c r="K35" s="202"/>
      <c r="L35" s="151"/>
      <c r="M35" s="186"/>
      <c r="N35" s="146">
        <f>N36/$N$68</f>
        <v>9.8937638365478708E-3</v>
      </c>
      <c r="O35" s="147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</row>
    <row r="36" spans="1:27" ht="15" customHeight="1">
      <c r="A36" s="468"/>
      <c r="B36" s="459"/>
      <c r="C36" s="460"/>
      <c r="D36" s="182"/>
      <c r="E36" s="152"/>
      <c r="F36" s="152"/>
      <c r="G36" s="152">
        <v>5771.67</v>
      </c>
      <c r="H36" s="152"/>
      <c r="I36" s="152"/>
      <c r="J36" s="152"/>
      <c r="K36" s="203"/>
      <c r="L36" s="152"/>
      <c r="M36" s="187"/>
      <c r="N36" s="148">
        <f>SUM(F36:L36)</f>
        <v>5771.67</v>
      </c>
      <c r="O36" s="149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</row>
    <row r="37" spans="1:27" ht="15" customHeight="1">
      <c r="A37" s="468"/>
      <c r="B37" s="459" t="s">
        <v>504</v>
      </c>
      <c r="C37" s="460" t="s">
        <v>507</v>
      </c>
      <c r="D37" s="176"/>
      <c r="E37" s="151"/>
      <c r="F37" s="151"/>
      <c r="G37" s="151"/>
      <c r="H37" s="151">
        <f>H38/N38</f>
        <v>0.75944172224089435</v>
      </c>
      <c r="I37" s="202">
        <f>I38/N38</f>
        <v>0.2405582777591056</v>
      </c>
      <c r="J37" s="202"/>
      <c r="K37" s="202"/>
      <c r="L37" s="202"/>
      <c r="M37" s="202"/>
      <c r="N37" s="146">
        <f>N38/$N$68</f>
        <v>2.2288177181317398E-2</v>
      </c>
      <c r="O37" s="149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</row>
    <row r="38" spans="1:27" ht="15" customHeight="1">
      <c r="A38" s="468"/>
      <c r="B38" s="459"/>
      <c r="C38" s="460"/>
      <c r="D38" s="182"/>
      <c r="E38" s="181"/>
      <c r="F38" s="181"/>
      <c r="G38" s="181"/>
      <c r="H38" s="153">
        <v>9874.36</v>
      </c>
      <c r="I38" s="204">
        <v>3127.77</v>
      </c>
      <c r="J38" s="204"/>
      <c r="K38" s="204"/>
      <c r="L38" s="204"/>
      <c r="M38" s="204"/>
      <c r="N38" s="148">
        <f>SUM(H38:M38)</f>
        <v>13002.130000000001</v>
      </c>
      <c r="O38" s="149"/>
      <c r="P38" s="338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</row>
    <row r="39" spans="1:27" ht="15" customHeight="1">
      <c r="A39" s="468"/>
      <c r="B39" s="459" t="s">
        <v>506</v>
      </c>
      <c r="C39" s="460" t="s">
        <v>524</v>
      </c>
      <c r="D39" s="176"/>
      <c r="E39" s="151"/>
      <c r="F39" s="151"/>
      <c r="G39" s="151"/>
      <c r="H39" s="151"/>
      <c r="I39" s="202"/>
      <c r="J39" s="202"/>
      <c r="K39" s="202"/>
      <c r="L39" s="151"/>
      <c r="M39" s="186"/>
      <c r="N39" s="146">
        <f>N40/$N$68</f>
        <v>1.1574359931846377E-2</v>
      </c>
      <c r="O39" s="149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</row>
    <row r="40" spans="1:27" ht="15" customHeight="1">
      <c r="A40" s="468"/>
      <c r="B40" s="459"/>
      <c r="C40" s="460"/>
      <c r="D40" s="183"/>
      <c r="E40" s="181"/>
      <c r="F40" s="181"/>
      <c r="G40" s="181"/>
      <c r="H40" s="153"/>
      <c r="I40" s="204"/>
      <c r="J40" s="204"/>
      <c r="K40" s="204">
        <v>6752.07</v>
      </c>
      <c r="L40" s="153"/>
      <c r="M40" s="311"/>
      <c r="N40" s="307">
        <f>SUM(H40:L40)</f>
        <v>6752.07</v>
      </c>
      <c r="O40" s="149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</row>
    <row r="41" spans="1:27" ht="15" customHeight="1">
      <c r="A41" s="468"/>
      <c r="B41" s="459" t="s">
        <v>508</v>
      </c>
      <c r="C41" s="460" t="s">
        <v>510</v>
      </c>
      <c r="D41" s="176"/>
      <c r="E41" s="151"/>
      <c r="F41" s="151">
        <f>F42/N42</f>
        <v>0.4824115691003435</v>
      </c>
      <c r="G41" s="151">
        <f>G42/N42</f>
        <v>0.19743203244902435</v>
      </c>
      <c r="H41" s="151"/>
      <c r="I41" s="151">
        <f>I42/N42</f>
        <v>0.32015639845063215</v>
      </c>
      <c r="J41" s="151"/>
      <c r="K41" s="151"/>
      <c r="L41" s="151"/>
      <c r="M41" s="186"/>
      <c r="N41" s="146">
        <f>N42/$N$68</f>
        <v>1.8764256525474882E-2</v>
      </c>
      <c r="O41" s="147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</row>
    <row r="42" spans="1:27" ht="15" customHeight="1">
      <c r="A42" s="468"/>
      <c r="B42" s="459"/>
      <c r="C42" s="460"/>
      <c r="D42" s="184"/>
      <c r="E42" s="152"/>
      <c r="F42" s="152">
        <v>5280.67</v>
      </c>
      <c r="G42" s="152">
        <v>2161.17</v>
      </c>
      <c r="H42" s="152"/>
      <c r="I42" s="152">
        <v>3504.56</v>
      </c>
      <c r="J42" s="152"/>
      <c r="K42" s="152"/>
      <c r="L42" s="152"/>
      <c r="M42" s="187"/>
      <c r="N42" s="148">
        <f>SUM(F42:L42)</f>
        <v>10946.4</v>
      </c>
      <c r="O42" s="149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</row>
    <row r="43" spans="1:27" ht="15" customHeight="1">
      <c r="A43" s="468"/>
      <c r="B43" s="459" t="s">
        <v>509</v>
      </c>
      <c r="C43" s="460" t="s">
        <v>512</v>
      </c>
      <c r="D43" s="176"/>
      <c r="E43" s="339">
        <f>E44/N44</f>
        <v>0.38464626449806738</v>
      </c>
      <c r="F43" s="151">
        <f>F44/N44</f>
        <v>0.61535373550193251</v>
      </c>
      <c r="G43" s="171"/>
      <c r="H43" s="171"/>
      <c r="I43" s="151"/>
      <c r="J43" s="151"/>
      <c r="K43" s="151"/>
      <c r="L43" s="151"/>
      <c r="M43" s="186"/>
      <c r="N43" s="146">
        <f>N44/$N$68</f>
        <v>4.3982334610590944E-2</v>
      </c>
      <c r="O43" s="149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</row>
    <row r="44" spans="1:27" ht="15" customHeight="1">
      <c r="A44" s="468"/>
      <c r="B44" s="459"/>
      <c r="C44" s="460"/>
      <c r="D44" s="177"/>
      <c r="E44" s="152">
        <f>3271.18+6597.97</f>
        <v>9869.15</v>
      </c>
      <c r="F44" s="152">
        <f>9826.19+5962.39</f>
        <v>15788.580000000002</v>
      </c>
      <c r="G44" s="152"/>
      <c r="H44" s="152"/>
      <c r="I44" s="152"/>
      <c r="J44" s="152"/>
      <c r="K44" s="152"/>
      <c r="L44" s="152"/>
      <c r="M44" s="187"/>
      <c r="N44" s="148">
        <f>SUM(E44:L44)</f>
        <v>25657.730000000003</v>
      </c>
      <c r="O44" s="149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</row>
    <row r="45" spans="1:27" ht="15" customHeight="1">
      <c r="A45" s="468"/>
      <c r="B45" s="459" t="s">
        <v>511</v>
      </c>
      <c r="C45" s="460" t="s">
        <v>514</v>
      </c>
      <c r="D45" s="176"/>
      <c r="E45" s="151"/>
      <c r="F45" s="151"/>
      <c r="G45" s="151"/>
      <c r="H45" s="151"/>
      <c r="I45" s="202"/>
      <c r="J45" s="202"/>
      <c r="K45" s="202"/>
      <c r="L45" s="151">
        <f>L46/N46</f>
        <v>1</v>
      </c>
      <c r="M45" s="186"/>
      <c r="N45" s="146">
        <f>N46/$N$68</f>
        <v>1.9512502339018129E-3</v>
      </c>
      <c r="O45" s="149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</row>
    <row r="46" spans="1:27" ht="15" customHeight="1">
      <c r="A46" s="468"/>
      <c r="B46" s="459"/>
      <c r="C46" s="460"/>
      <c r="D46" s="177"/>
      <c r="E46" s="152"/>
      <c r="F46" s="152"/>
      <c r="G46" s="152"/>
      <c r="H46" s="152"/>
      <c r="I46" s="203"/>
      <c r="J46" s="203"/>
      <c r="K46" s="203"/>
      <c r="L46" s="152">
        <v>1138.29</v>
      </c>
      <c r="M46" s="187"/>
      <c r="N46" s="148">
        <f>SUM(F46:M46)</f>
        <v>1138.29</v>
      </c>
      <c r="O46" s="149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</row>
    <row r="47" spans="1:27" ht="15" customHeight="1">
      <c r="A47" s="468"/>
      <c r="B47" s="459" t="s">
        <v>513</v>
      </c>
      <c r="C47" s="460" t="s">
        <v>791</v>
      </c>
      <c r="D47" s="176"/>
      <c r="E47" s="151"/>
      <c r="F47" s="151"/>
      <c r="G47" s="151"/>
      <c r="H47" s="151"/>
      <c r="I47" s="151"/>
      <c r="J47" s="151"/>
      <c r="K47" s="202">
        <f>K48/N48</f>
        <v>0.12776375582962671</v>
      </c>
      <c r="L47" s="151">
        <f>L48/N48</f>
        <v>0.58916829024196071</v>
      </c>
      <c r="M47" s="186">
        <f>M48/N48</f>
        <v>0.28306795392841255</v>
      </c>
      <c r="N47" s="146">
        <f>N48/$N$68</f>
        <v>4.0200136299017482E-2</v>
      </c>
      <c r="O47" s="149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</row>
    <row r="48" spans="1:27" ht="15" customHeight="1">
      <c r="A48" s="468"/>
      <c r="B48" s="459"/>
      <c r="C48" s="460"/>
      <c r="D48" s="177"/>
      <c r="E48" s="152"/>
      <c r="F48" s="152"/>
      <c r="G48" s="152"/>
      <c r="H48" s="152"/>
      <c r="I48" s="152"/>
      <c r="J48" s="152"/>
      <c r="K48" s="203">
        <f>2996.23</f>
        <v>2996.23</v>
      </c>
      <c r="L48" s="152">
        <v>13816.78</v>
      </c>
      <c r="M48" s="187">
        <v>6638.32</v>
      </c>
      <c r="N48" s="148">
        <f>SUM(F48:M48)</f>
        <v>23451.33</v>
      </c>
      <c r="O48" s="149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</row>
    <row r="49" spans="1:27" ht="15" customHeight="1">
      <c r="A49" s="468"/>
      <c r="B49" s="459" t="s">
        <v>515</v>
      </c>
      <c r="C49" s="460" t="s">
        <v>516</v>
      </c>
      <c r="D49" s="176"/>
      <c r="E49" s="151"/>
      <c r="F49" s="151"/>
      <c r="G49" s="151"/>
      <c r="H49" s="151"/>
      <c r="I49" s="151"/>
      <c r="J49" s="202"/>
      <c r="K49" s="151"/>
      <c r="L49" s="151"/>
      <c r="M49" s="186">
        <f>M50/N50</f>
        <v>1</v>
      </c>
      <c r="N49" s="146">
        <f>N50/$N$68</f>
        <v>4.1834226302857958E-3</v>
      </c>
      <c r="O49" s="147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</row>
    <row r="50" spans="1:27" ht="15" customHeight="1" thickBot="1">
      <c r="A50" s="475"/>
      <c r="B50" s="462"/>
      <c r="C50" s="463"/>
      <c r="D50" s="185"/>
      <c r="E50" s="178"/>
      <c r="F50" s="178"/>
      <c r="G50" s="178"/>
      <c r="H50" s="178"/>
      <c r="I50" s="178"/>
      <c r="J50" s="205"/>
      <c r="K50" s="178"/>
      <c r="L50" s="178"/>
      <c r="M50" s="312">
        <v>2440.46</v>
      </c>
      <c r="N50" s="308">
        <f>SUM(G50:M50)</f>
        <v>2440.46</v>
      </c>
      <c r="O50" s="149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</row>
    <row r="51" spans="1:27" ht="15" customHeight="1">
      <c r="A51" s="467" t="s">
        <v>62</v>
      </c>
      <c r="B51" s="470" t="s">
        <v>487</v>
      </c>
      <c r="C51" s="471" t="s">
        <v>525</v>
      </c>
      <c r="D51" s="151">
        <f>D52/N52</f>
        <v>0.29959229013285982</v>
      </c>
      <c r="E51" s="151">
        <f>E52/N52</f>
        <v>0.49999987004849006</v>
      </c>
      <c r="F51" s="174">
        <f>F52/N52</f>
        <v>0.20040783981865007</v>
      </c>
      <c r="G51" s="174"/>
      <c r="H51" s="174"/>
      <c r="I51" s="174"/>
      <c r="J51" s="174"/>
      <c r="K51" s="174"/>
      <c r="L51" s="174"/>
      <c r="M51" s="298"/>
      <c r="N51" s="175">
        <f>N50/$N$68</f>
        <v>4.1834226302857958E-3</v>
      </c>
      <c r="O51" s="147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</row>
    <row r="52" spans="1:27" ht="15" customHeight="1">
      <c r="A52" s="468"/>
      <c r="B52" s="459"/>
      <c r="C52" s="460"/>
      <c r="D52" s="152">
        <v>11527.08</v>
      </c>
      <c r="E52" s="152">
        <v>19237.939999999999</v>
      </c>
      <c r="F52" s="152">
        <v>7710.87</v>
      </c>
      <c r="G52" s="152"/>
      <c r="H52" s="152"/>
      <c r="I52" s="152"/>
      <c r="J52" s="152"/>
      <c r="K52" s="152"/>
      <c r="L52" s="152"/>
      <c r="M52" s="187"/>
      <c r="N52" s="148">
        <f>SUM(D52:I52)</f>
        <v>38475.89</v>
      </c>
      <c r="O52" s="149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</row>
    <row r="53" spans="1:27" ht="15" customHeight="1">
      <c r="A53" s="468"/>
      <c r="B53" s="459" t="s">
        <v>489</v>
      </c>
      <c r="C53" s="460" t="s">
        <v>545</v>
      </c>
      <c r="D53" s="151"/>
      <c r="E53" s="151">
        <f>E54/N54</f>
        <v>0.48392300114923653</v>
      </c>
      <c r="F53" s="151">
        <f>F54/N54</f>
        <v>0.51607699885076341</v>
      </c>
      <c r="G53" s="151"/>
      <c r="H53" s="151"/>
      <c r="I53" s="151"/>
      <c r="J53" s="151"/>
      <c r="K53" s="151"/>
      <c r="L53" s="151"/>
      <c r="M53" s="186"/>
      <c r="N53" s="146">
        <f>N54/$N$68</f>
        <v>2.5058778008477861E-2</v>
      </c>
      <c r="O53" s="147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</row>
    <row r="54" spans="1:27" ht="15" customHeight="1">
      <c r="A54" s="468"/>
      <c r="B54" s="459"/>
      <c r="C54" s="460"/>
      <c r="D54" s="152"/>
      <c r="E54" s="152">
        <v>7074.18</v>
      </c>
      <c r="F54" s="152">
        <v>7544.22</v>
      </c>
      <c r="G54" s="152"/>
      <c r="H54" s="152"/>
      <c r="I54" s="152"/>
      <c r="J54" s="152"/>
      <c r="K54" s="152"/>
      <c r="L54" s="152"/>
      <c r="M54" s="187"/>
      <c r="N54" s="148">
        <f>SUM(D54:I54)</f>
        <v>14618.400000000001</v>
      </c>
      <c r="O54" s="149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</row>
    <row r="55" spans="1:27" ht="15" customHeight="1">
      <c r="A55" s="468"/>
      <c r="B55" s="459" t="s">
        <v>491</v>
      </c>
      <c r="C55" s="460" t="s">
        <v>546</v>
      </c>
      <c r="D55" s="186"/>
      <c r="E55" s="151"/>
      <c r="F55" s="151"/>
      <c r="G55" s="151">
        <f>G56/N56</f>
        <v>1</v>
      </c>
      <c r="H55" s="151"/>
      <c r="I55" s="151"/>
      <c r="J55" s="151"/>
      <c r="K55" s="151"/>
      <c r="L55" s="151"/>
      <c r="M55" s="186"/>
      <c r="N55" s="146">
        <f>N56/$N$68</f>
        <v>1.5352649880407522E-2</v>
      </c>
      <c r="O55" s="147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</row>
    <row r="56" spans="1:27" ht="15" customHeight="1">
      <c r="A56" s="468"/>
      <c r="B56" s="459"/>
      <c r="C56" s="460"/>
      <c r="D56" s="187"/>
      <c r="E56" s="152"/>
      <c r="F56" s="152"/>
      <c r="G56" s="152">
        <v>8956.19</v>
      </c>
      <c r="H56" s="152"/>
      <c r="I56" s="152"/>
      <c r="J56" s="152"/>
      <c r="K56" s="152"/>
      <c r="L56" s="152"/>
      <c r="M56" s="187"/>
      <c r="N56" s="148">
        <f>SUM(E56:I56)</f>
        <v>8956.19</v>
      </c>
      <c r="O56" s="149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</row>
    <row r="57" spans="1:27" ht="15" customHeight="1">
      <c r="A57" s="468"/>
      <c r="B57" s="469" t="s">
        <v>493</v>
      </c>
      <c r="C57" s="460" t="s">
        <v>547</v>
      </c>
      <c r="D57" s="186"/>
      <c r="E57" s="151"/>
      <c r="F57" s="151"/>
      <c r="G57" s="151">
        <f>G58/N58</f>
        <v>0.71327738504477878</v>
      </c>
      <c r="H57" s="151">
        <f>H58/N58</f>
        <v>0.28672261495522117</v>
      </c>
      <c r="I57" s="151"/>
      <c r="J57" s="151"/>
      <c r="K57" s="151"/>
      <c r="L57" s="151"/>
      <c r="M57" s="186"/>
      <c r="N57" s="146">
        <f>N58/$N$68</f>
        <v>2.5187222587650358E-2</v>
      </c>
      <c r="O57" s="147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</row>
    <row r="58" spans="1:27" ht="15" customHeight="1">
      <c r="A58" s="468"/>
      <c r="B58" s="469"/>
      <c r="C58" s="460"/>
      <c r="D58" s="187"/>
      <c r="E58" s="152"/>
      <c r="F58" s="152"/>
      <c r="G58" s="152">
        <f>4221.2+6259.22</f>
        <v>10480.42</v>
      </c>
      <c r="H58" s="152">
        <f>6259.22-2046.31</f>
        <v>4212.91</v>
      </c>
      <c r="I58" s="152"/>
      <c r="J58" s="152"/>
      <c r="K58" s="152"/>
      <c r="L58" s="152"/>
      <c r="M58" s="187"/>
      <c r="N58" s="148">
        <f>SUM(G58:J58)</f>
        <v>14693.33</v>
      </c>
      <c r="O58" s="149"/>
      <c r="P58" s="348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</row>
    <row r="59" spans="1:27" ht="15" customHeight="1">
      <c r="A59" s="468"/>
      <c r="B59" s="459" t="s">
        <v>495</v>
      </c>
      <c r="C59" s="460" t="s">
        <v>548</v>
      </c>
      <c r="D59" s="186"/>
      <c r="E59" s="151"/>
      <c r="F59" s="151"/>
      <c r="G59" s="151"/>
      <c r="H59" s="151"/>
      <c r="I59" s="151">
        <f>I60/N60</f>
        <v>0.17463702622433327</v>
      </c>
      <c r="J59" s="151">
        <f>J60/N60</f>
        <v>0.14901381462789767</v>
      </c>
      <c r="K59" s="151">
        <f>K60/N60</f>
        <v>0.21771776963633196</v>
      </c>
      <c r="L59" s="151">
        <f>L60/N60</f>
        <v>0.45863138951143706</v>
      </c>
      <c r="M59" s="186"/>
      <c r="N59" s="146">
        <f>N60/$N$68</f>
        <v>3.2223750216931295E-2</v>
      </c>
      <c r="O59" s="149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</row>
    <row r="60" spans="1:27" ht="15" customHeight="1">
      <c r="A60" s="468"/>
      <c r="B60" s="459"/>
      <c r="C60" s="460"/>
      <c r="D60" s="187"/>
      <c r="E60" s="152"/>
      <c r="F60" s="152"/>
      <c r="G60" s="152"/>
      <c r="H60" s="152"/>
      <c r="I60" s="152">
        <v>3282.86</v>
      </c>
      <c r="J60" s="152">
        <v>2801.19</v>
      </c>
      <c r="K60" s="152">
        <v>4092.7</v>
      </c>
      <c r="L60" s="152">
        <f>8621.44-293.73+0.43-0.06+293.36</f>
        <v>8621.4400000000023</v>
      </c>
      <c r="M60" s="187"/>
      <c r="N60" s="148">
        <f>SUM(I60:L60)</f>
        <v>18798.190000000002</v>
      </c>
      <c r="O60" s="149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</row>
    <row r="61" spans="1:27" ht="15" customHeight="1">
      <c r="A61" s="468"/>
      <c r="B61" s="459" t="s">
        <v>497</v>
      </c>
      <c r="C61" s="460" t="s">
        <v>549</v>
      </c>
      <c r="D61" s="186"/>
      <c r="E61" s="151"/>
      <c r="F61" s="151"/>
      <c r="G61" s="151"/>
      <c r="H61" s="151"/>
      <c r="I61" s="151">
        <f>I62/N62</f>
        <v>0.52519677131893061</v>
      </c>
      <c r="J61" s="151">
        <f>J62/N62</f>
        <v>0.47480322868106933</v>
      </c>
      <c r="K61" s="151"/>
      <c r="L61" s="151"/>
      <c r="M61" s="186"/>
      <c r="N61" s="146">
        <f>N62/$N$68</f>
        <v>4.5916700030601804E-2</v>
      </c>
      <c r="O61" s="149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</row>
    <row r="62" spans="1:27" ht="15" customHeight="1">
      <c r="A62" s="468"/>
      <c r="B62" s="459"/>
      <c r="C62" s="460"/>
      <c r="D62" s="187"/>
      <c r="E62" s="152"/>
      <c r="F62" s="152"/>
      <c r="G62" s="152"/>
      <c r="H62" s="152"/>
      <c r="I62" s="152">
        <f>22623.88-7800+434.87-1190.74</f>
        <v>14068.010000000002</v>
      </c>
      <c r="J62" s="152">
        <f>11328+8390.16-7000</f>
        <v>12718.16</v>
      </c>
      <c r="K62" s="152"/>
      <c r="L62" s="152"/>
      <c r="M62" s="187"/>
      <c r="N62" s="148">
        <f>SUM(I62:J62)</f>
        <v>26786.170000000002</v>
      </c>
      <c r="O62" s="149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</row>
    <row r="63" spans="1:27" ht="15" customHeight="1">
      <c r="A63" s="468"/>
      <c r="B63" s="459" t="s">
        <v>498</v>
      </c>
      <c r="C63" s="460" t="s">
        <v>507</v>
      </c>
      <c r="D63" s="186"/>
      <c r="E63" s="151"/>
      <c r="F63" s="151"/>
      <c r="G63" s="151"/>
      <c r="H63" s="151"/>
      <c r="I63" s="151"/>
      <c r="J63" s="151">
        <f>J64/N64</f>
        <v>0.51057757910551926</v>
      </c>
      <c r="K63" s="151">
        <f>K64/N64</f>
        <v>0.48942242089448085</v>
      </c>
      <c r="L63" s="151"/>
      <c r="M63" s="186"/>
      <c r="N63" s="146">
        <f>N64/$N$68</f>
        <v>5.718421918209482E-2</v>
      </c>
      <c r="O63" s="149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</row>
    <row r="64" spans="1:27" ht="15" customHeight="1">
      <c r="A64" s="468"/>
      <c r="B64" s="459"/>
      <c r="C64" s="460"/>
      <c r="D64" s="187"/>
      <c r="E64" s="152"/>
      <c r="F64" s="152"/>
      <c r="G64" s="152"/>
      <c r="H64" s="152"/>
      <c r="I64" s="152"/>
      <c r="J64" s="152">
        <v>17032.48</v>
      </c>
      <c r="K64" s="152">
        <v>16326.76</v>
      </c>
      <c r="L64" s="152"/>
      <c r="M64" s="187"/>
      <c r="N64" s="148">
        <f>SUM(F64:K64)</f>
        <v>33359.24</v>
      </c>
      <c r="O64" s="149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</row>
    <row r="65" spans="1:27" ht="15" customHeight="1">
      <c r="A65" s="468"/>
      <c r="B65" s="459" t="s">
        <v>500</v>
      </c>
      <c r="C65" s="460" t="s">
        <v>550</v>
      </c>
      <c r="D65" s="186"/>
      <c r="E65" s="186"/>
      <c r="F65" s="186"/>
      <c r="G65" s="186"/>
      <c r="H65" s="186"/>
      <c r="I65" s="186"/>
      <c r="J65" s="151"/>
      <c r="K65" s="151">
        <f>K66/N66</f>
        <v>0.42170394690461566</v>
      </c>
      <c r="L65" s="151">
        <f>L66/N66</f>
        <v>0.32285760325501295</v>
      </c>
      <c r="M65" s="186">
        <f>M66/N66</f>
        <v>0.25543844984037145</v>
      </c>
      <c r="N65" s="146">
        <f>N66/$N$68</f>
        <v>0.14978259559324528</v>
      </c>
      <c r="O65" s="149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</row>
    <row r="66" spans="1:27" ht="15" customHeight="1">
      <c r="A66" s="468"/>
      <c r="B66" s="459"/>
      <c r="C66" s="460"/>
      <c r="D66" s="187"/>
      <c r="E66" s="187"/>
      <c r="F66" s="187"/>
      <c r="G66" s="187"/>
      <c r="H66" s="187"/>
      <c r="I66" s="187"/>
      <c r="J66" s="152"/>
      <c r="K66" s="152">
        <v>36847.58</v>
      </c>
      <c r="L66" s="152">
        <v>28210.6</v>
      </c>
      <c r="M66" s="187">
        <v>22319.66</v>
      </c>
      <c r="N66" s="148">
        <f>SUM(J66:M66)</f>
        <v>87377.84</v>
      </c>
      <c r="O66" s="149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</row>
    <row r="67" spans="1:27" ht="15.95" customHeight="1">
      <c r="A67" s="464" t="s">
        <v>517</v>
      </c>
      <c r="B67" s="465"/>
      <c r="C67" s="465"/>
      <c r="D67" s="154">
        <f>D68/N68</f>
        <v>5.5785385204487274E-2</v>
      </c>
      <c r="E67" s="154">
        <f>E68/N68</f>
        <v>8.4632292636829226E-2</v>
      </c>
      <c r="F67" s="154">
        <f>F68/N68</f>
        <v>9.1546203947570071E-2</v>
      </c>
      <c r="G67" s="154">
        <f>G68/N68</f>
        <v>0.14026000624926677</v>
      </c>
      <c r="H67" s="154">
        <f>H68/N68</f>
        <v>0.16182616478988676</v>
      </c>
      <c r="I67" s="154">
        <f>I68/N68</f>
        <v>0.12979053025583803</v>
      </c>
      <c r="J67" s="154">
        <f>J68/N68</f>
        <v>7.8685906874954539E-2</v>
      </c>
      <c r="K67" s="154">
        <f>K68/N68</f>
        <v>0.11487731408517118</v>
      </c>
      <c r="L67" s="154">
        <f>L68/N68</f>
        <v>8.8773168964498425E-2</v>
      </c>
      <c r="M67" s="154">
        <f>M68/N68</f>
        <v>5.3823026991497804E-2</v>
      </c>
      <c r="N67" s="155">
        <f>ROUND(SUM(D67:M67),2)</f>
        <v>1</v>
      </c>
      <c r="O67" s="156"/>
      <c r="P67" s="157"/>
    </row>
    <row r="68" spans="1:27" ht="15.95" customHeight="1">
      <c r="A68" s="465" t="s">
        <v>518</v>
      </c>
      <c r="B68" s="465"/>
      <c r="C68" s="465"/>
      <c r="D68" s="158">
        <f>D52+D20</f>
        <v>32543.21</v>
      </c>
      <c r="E68" s="158">
        <f>E54+E52+E44+E22</f>
        <v>49371.47</v>
      </c>
      <c r="F68" s="158">
        <f>F24+F42+F52+F54+F44</f>
        <v>53404.799999999996</v>
      </c>
      <c r="G68" s="158">
        <f>G58+G56+G42+G36+G30+G28+G26</f>
        <v>81822.7</v>
      </c>
      <c r="H68" s="159">
        <f>H58+H38+H30+H28</f>
        <v>94403.63</v>
      </c>
      <c r="I68" s="158">
        <f>I62+I60+I42+I38+I34+I32+I28</f>
        <v>75715.180000000008</v>
      </c>
      <c r="J68" s="158">
        <f>J66+J64+J62+J60+J34</f>
        <v>45902.559999999998</v>
      </c>
      <c r="K68" s="158">
        <f>K66+K64+K60+K48+K40</f>
        <v>67015.34</v>
      </c>
      <c r="L68" s="158">
        <f>L46+L48+L60+L66</f>
        <v>51787.11</v>
      </c>
      <c r="M68" s="299">
        <f>M66+M50+M48</f>
        <v>31398.44</v>
      </c>
      <c r="N68" s="160">
        <f>SUM(D68:M68)</f>
        <v>583364.43999999994</v>
      </c>
      <c r="O68"/>
    </row>
    <row r="69" spans="1:27" ht="5.0999999999999996" customHeight="1">
      <c r="A69" s="466"/>
      <c r="B69" s="466"/>
      <c r="C69" s="466"/>
      <c r="D69" s="346"/>
      <c r="E69" s="346"/>
      <c r="F69" s="346"/>
      <c r="G69" s="346"/>
      <c r="H69" s="161"/>
      <c r="I69" s="161"/>
      <c r="J69" s="161"/>
      <c r="K69" s="161"/>
      <c r="L69" s="161"/>
      <c r="M69" s="300"/>
      <c r="N69" s="293"/>
    </row>
    <row r="70" spans="1:27" ht="5.0999999999999996" customHeight="1">
      <c r="A70" s="162"/>
      <c r="B70" s="163"/>
      <c r="C70" s="163"/>
      <c r="D70" s="344"/>
      <c r="E70" s="344"/>
      <c r="F70" s="344"/>
      <c r="G70" s="344"/>
      <c r="H70" s="345"/>
      <c r="I70" s="345"/>
      <c r="J70" s="345"/>
      <c r="K70" s="345"/>
      <c r="L70" s="345"/>
      <c r="M70" s="345"/>
      <c r="N70" s="301"/>
    </row>
    <row r="71" spans="1:27" ht="5.0999999999999996" customHeight="1">
      <c r="A71" s="347"/>
      <c r="B71" s="190"/>
      <c r="C71" s="190"/>
      <c r="D71" s="345"/>
      <c r="E71" s="345"/>
      <c r="F71" s="345"/>
      <c r="G71" s="345"/>
      <c r="H71" s="345"/>
      <c r="I71" s="345"/>
      <c r="J71" s="345"/>
      <c r="K71" s="345"/>
      <c r="L71" s="345"/>
      <c r="M71" s="345"/>
      <c r="N71" s="301"/>
    </row>
    <row r="72" spans="1:27" ht="5.0999999999999996" customHeight="1">
      <c r="A72" s="347"/>
      <c r="B72" s="190"/>
      <c r="C72" s="190"/>
      <c r="D72" s="345"/>
      <c r="E72" s="345"/>
      <c r="F72" s="345"/>
      <c r="G72" s="345"/>
      <c r="H72" s="345"/>
      <c r="I72" s="345"/>
      <c r="J72" s="345"/>
      <c r="K72" s="345"/>
      <c r="L72" s="345"/>
      <c r="M72" s="345"/>
      <c r="N72" s="301"/>
    </row>
    <row r="73" spans="1:27" ht="36" customHeight="1">
      <c r="A73" s="347"/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301"/>
      <c r="O73" s="189"/>
      <c r="P73" s="189"/>
    </row>
    <row r="74" spans="1:27" ht="15" customHeight="1">
      <c r="A74" s="164"/>
      <c r="B74" s="165"/>
      <c r="C74" s="165"/>
      <c r="D74" s="165"/>
      <c r="E74" s="165"/>
      <c r="F74" s="165"/>
      <c r="G74" s="165"/>
      <c r="K74" s="357" t="s">
        <v>22</v>
      </c>
      <c r="L74" s="357"/>
      <c r="M74" s="357"/>
      <c r="N74" s="302"/>
      <c r="O74" s="188"/>
      <c r="P74" s="189"/>
    </row>
    <row r="75" spans="1:27" ht="15" customHeight="1">
      <c r="A75" s="164"/>
      <c r="B75" s="165"/>
      <c r="C75" s="165"/>
      <c r="D75" s="165"/>
      <c r="E75" s="165"/>
      <c r="F75" s="165"/>
      <c r="G75" s="165"/>
      <c r="H75" s="189"/>
      <c r="I75" s="189"/>
      <c r="J75" s="189"/>
      <c r="K75" s="359" t="s">
        <v>577</v>
      </c>
      <c r="L75" s="359"/>
      <c r="M75" s="359"/>
      <c r="N75" s="302"/>
      <c r="O75" s="188"/>
      <c r="P75" s="189"/>
    </row>
    <row r="76" spans="1:27" ht="15" customHeight="1">
      <c r="A76" s="166"/>
      <c r="B76" s="167"/>
      <c r="C76" s="167"/>
      <c r="D76" s="167"/>
      <c r="E76" s="167"/>
      <c r="F76" s="167"/>
      <c r="G76" s="167"/>
      <c r="H76" s="313"/>
      <c r="I76" s="313"/>
      <c r="J76" s="313"/>
      <c r="K76" s="461" t="s">
        <v>582</v>
      </c>
      <c r="L76" s="461"/>
      <c r="M76" s="461"/>
      <c r="N76" s="295"/>
    </row>
  </sheetData>
  <mergeCells count="75">
    <mergeCell ref="A1:L6"/>
    <mergeCell ref="M1:N6"/>
    <mergeCell ref="M12:N12"/>
    <mergeCell ref="A11:L11"/>
    <mergeCell ref="M11:N11"/>
    <mergeCell ref="A7:N7"/>
    <mergeCell ref="A8:N8"/>
    <mergeCell ref="A10:N10"/>
    <mergeCell ref="A9:N9"/>
    <mergeCell ref="M15:N15"/>
    <mergeCell ref="A12:L12"/>
    <mergeCell ref="A13:L13"/>
    <mergeCell ref="M16:N16"/>
    <mergeCell ref="A14:L14"/>
    <mergeCell ref="A15:L15"/>
    <mergeCell ref="A16:L16"/>
    <mergeCell ref="M13:N13"/>
    <mergeCell ref="M14:N14"/>
    <mergeCell ref="B51:B52"/>
    <mergeCell ref="C51:C52"/>
    <mergeCell ref="A18:C18"/>
    <mergeCell ref="B23:B24"/>
    <mergeCell ref="C23:C24"/>
    <mergeCell ref="B25:B26"/>
    <mergeCell ref="C25:C26"/>
    <mergeCell ref="A19:A50"/>
    <mergeCell ref="B19:B20"/>
    <mergeCell ref="C19:C20"/>
    <mergeCell ref="B21:B22"/>
    <mergeCell ref="C21:C22"/>
    <mergeCell ref="B41:B42"/>
    <mergeCell ref="C41:C42"/>
    <mergeCell ref="B37:B38"/>
    <mergeCell ref="C37:C38"/>
    <mergeCell ref="B63:B64"/>
    <mergeCell ref="B61:B62"/>
    <mergeCell ref="C61:C62"/>
    <mergeCell ref="B53:B54"/>
    <mergeCell ref="C53:C54"/>
    <mergeCell ref="B55:B56"/>
    <mergeCell ref="C55:C56"/>
    <mergeCell ref="B57:B58"/>
    <mergeCell ref="C57:C58"/>
    <mergeCell ref="K75:M75"/>
    <mergeCell ref="K76:M76"/>
    <mergeCell ref="B47:B48"/>
    <mergeCell ref="C47:C48"/>
    <mergeCell ref="B49:B50"/>
    <mergeCell ref="C49:C50"/>
    <mergeCell ref="B59:B60"/>
    <mergeCell ref="C59:C60"/>
    <mergeCell ref="C63:C64"/>
    <mergeCell ref="B65:B66"/>
    <mergeCell ref="C65:C66"/>
    <mergeCell ref="K74:M74"/>
    <mergeCell ref="A67:C67"/>
    <mergeCell ref="A68:C68"/>
    <mergeCell ref="A69:C69"/>
    <mergeCell ref="A51:A66"/>
    <mergeCell ref="B43:B44"/>
    <mergeCell ref="C43:C44"/>
    <mergeCell ref="B45:B46"/>
    <mergeCell ref="C45:C46"/>
    <mergeCell ref="B27:B28"/>
    <mergeCell ref="C27:C28"/>
    <mergeCell ref="C39:C40"/>
    <mergeCell ref="B29:B30"/>
    <mergeCell ref="C29:C30"/>
    <mergeCell ref="C31:C32"/>
    <mergeCell ref="B33:B34"/>
    <mergeCell ref="C33:C34"/>
    <mergeCell ref="B35:B36"/>
    <mergeCell ref="C35:C36"/>
    <mergeCell ref="B39:B40"/>
    <mergeCell ref="B31:B32"/>
  </mergeCells>
  <pageMargins left="0.70866141732283472" right="0.70866141732283472" top="0.74803149606299213" bottom="0.74803149606299213" header="0.31496062992125984" footer="0.31496062992125984"/>
  <pageSetup paperSize="9" scale="43" firstPageNumber="0" fitToWidth="0" orientation="landscape" horizontalDpi="300" verticalDpi="300" r:id="rId1"/>
  <headerFooter>
    <oddFooter>&amp;C&amp;11Prefeitura Municipal da Estância Turística de Paraguaçu Paulista - Av. Siqueira Campos 1430 CEP 19.703-061 - Fone: (18)3361-9100 - Fax: (18) 3361-1331 – Estância Turística de Paraguaçu Paulista - SP&amp;R&amp;P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92"/>
  <sheetViews>
    <sheetView showGridLines="0" tabSelected="1" view="pageBreakPreview" zoomScale="85" zoomScaleNormal="120" zoomScaleSheetLayoutView="85" workbookViewId="0">
      <selection activeCell="Q13" sqref="Q13"/>
    </sheetView>
  </sheetViews>
  <sheetFormatPr defaultRowHeight="15"/>
  <cols>
    <col min="1" max="1" width="8.42578125" style="209" customWidth="1"/>
    <col min="2" max="2" width="11.42578125" style="209" customWidth="1"/>
    <col min="3" max="3" width="42.5703125" style="209" customWidth="1"/>
    <col min="4" max="4" width="5.85546875" style="209" customWidth="1"/>
    <col min="5" max="5" width="11.7109375" style="209" customWidth="1"/>
    <col min="6" max="6" width="8.7109375" style="209" customWidth="1"/>
    <col min="7" max="7" width="15.7109375" style="209" customWidth="1"/>
    <col min="8" max="8" width="14.85546875" style="209" customWidth="1"/>
    <col min="9" max="9" width="5.7109375" style="209" customWidth="1"/>
    <col min="10" max="10" width="6.7109375" style="209" customWidth="1"/>
    <col min="11" max="11" width="8.7109375" style="209" customWidth="1"/>
    <col min="12" max="12" width="15.7109375" style="209" customWidth="1"/>
    <col min="13" max="13" width="15.140625" style="209" customWidth="1"/>
    <col min="14" max="14" width="35.5703125" style="209" customWidth="1"/>
    <col min="15" max="15" width="33.5703125" style="209" customWidth="1"/>
    <col min="16" max="16" width="31.28515625" style="248" customWidth="1"/>
    <col min="17" max="20" width="9.140625" style="248"/>
    <col min="21" max="23" width="9.140625" style="249"/>
    <col min="24" max="16384" width="9.140625" style="209"/>
  </cols>
  <sheetData>
    <row r="1" spans="1:23" ht="20.100000000000001" customHeight="1">
      <c r="A1" s="545"/>
      <c r="B1" s="546"/>
      <c r="C1" s="549" t="s">
        <v>799</v>
      </c>
      <c r="D1" s="549"/>
      <c r="E1" s="549"/>
      <c r="F1" s="549"/>
      <c r="G1" s="549"/>
      <c r="H1" s="549"/>
      <c r="I1" s="549"/>
      <c r="J1" s="549"/>
      <c r="K1" s="549"/>
      <c r="L1" s="549"/>
      <c r="M1" s="549"/>
      <c r="N1" s="550"/>
      <c r="O1" s="206"/>
      <c r="P1" s="207"/>
      <c r="Q1" s="207"/>
      <c r="R1" s="207"/>
      <c r="S1" s="207"/>
      <c r="T1" s="207"/>
      <c r="U1" s="208"/>
      <c r="V1" s="208"/>
      <c r="W1" s="208"/>
    </row>
    <row r="2" spans="1:23" s="213" customFormat="1" ht="30" customHeight="1">
      <c r="A2" s="547"/>
      <c r="B2" s="548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2"/>
      <c r="O2" s="210"/>
      <c r="P2" s="211"/>
      <c r="Q2" s="211"/>
      <c r="R2" s="211"/>
      <c r="S2" s="211"/>
      <c r="T2" s="211"/>
      <c r="U2" s="212"/>
      <c r="V2" s="212"/>
      <c r="W2" s="212"/>
    </row>
    <row r="3" spans="1:23" ht="20.100000000000001" customHeight="1">
      <c r="A3" s="547"/>
      <c r="B3" s="548"/>
      <c r="C3" s="215"/>
      <c r="D3" s="215"/>
      <c r="E3" s="215"/>
      <c r="F3" s="215"/>
      <c r="G3" s="332"/>
      <c r="H3" s="332"/>
      <c r="I3" s="332"/>
      <c r="J3" s="215"/>
      <c r="K3" s="215"/>
      <c r="L3" s="215"/>
      <c r="M3" s="215"/>
      <c r="N3" s="272"/>
      <c r="O3" s="206"/>
      <c r="P3" s="207"/>
      <c r="Q3" s="207"/>
      <c r="R3" s="207"/>
      <c r="S3" s="207"/>
      <c r="T3" s="207"/>
      <c r="U3" s="208"/>
      <c r="V3" s="208"/>
      <c r="W3" s="208"/>
    </row>
    <row r="4" spans="1:23" ht="20.100000000000001" customHeight="1">
      <c r="A4" s="547"/>
      <c r="B4" s="548"/>
      <c r="C4" s="215"/>
      <c r="D4" s="215"/>
      <c r="E4" s="215"/>
      <c r="F4" s="215"/>
      <c r="G4" s="332"/>
      <c r="H4" s="332"/>
      <c r="I4" s="332"/>
      <c r="J4" s="215"/>
      <c r="K4" s="215"/>
      <c r="L4" s="215"/>
      <c r="M4" s="215"/>
      <c r="N4" s="273"/>
      <c r="O4" s="206"/>
      <c r="P4" s="216"/>
      <c r="Q4" s="207"/>
      <c r="R4" s="207"/>
      <c r="S4" s="207"/>
      <c r="T4" s="207"/>
      <c r="U4" s="208"/>
      <c r="V4" s="208"/>
      <c r="W4" s="208"/>
    </row>
    <row r="5" spans="1:23" ht="9.9499999999999993" customHeight="1">
      <c r="A5" s="274"/>
      <c r="B5" s="215"/>
      <c r="C5" s="215"/>
      <c r="D5" s="215"/>
      <c r="E5" s="215"/>
      <c r="F5" s="215"/>
      <c r="G5" s="215"/>
      <c r="H5" s="215"/>
      <c r="I5" s="215"/>
      <c r="J5" s="215"/>
      <c r="K5" s="553"/>
      <c r="L5" s="553"/>
      <c r="M5" s="553"/>
      <c r="N5" s="554"/>
      <c r="O5" s="206"/>
      <c r="P5" s="216"/>
      <c r="Q5" s="207"/>
      <c r="R5" s="207"/>
      <c r="S5" s="207"/>
      <c r="T5" s="207"/>
      <c r="U5" s="208"/>
      <c r="V5" s="208"/>
      <c r="W5" s="208"/>
    </row>
    <row r="6" spans="1:23" ht="24.95" customHeight="1">
      <c r="A6" s="513" t="s">
        <v>800</v>
      </c>
      <c r="B6" s="513"/>
      <c r="C6" s="555" t="s">
        <v>822</v>
      </c>
      <c r="D6" s="555"/>
      <c r="E6" s="555"/>
      <c r="F6" s="555"/>
      <c r="G6" s="555"/>
      <c r="H6" s="217"/>
      <c r="I6" s="214"/>
      <c r="J6" s="556" t="s">
        <v>801</v>
      </c>
      <c r="K6" s="556"/>
      <c r="L6" s="556"/>
      <c r="M6" s="218"/>
      <c r="N6" s="333" t="s">
        <v>802</v>
      </c>
      <c r="O6" s="219"/>
      <c r="P6" s="220"/>
      <c r="Q6" s="207"/>
      <c r="R6" s="207"/>
      <c r="S6" s="207"/>
      <c r="T6" s="207"/>
      <c r="U6" s="208"/>
      <c r="V6" s="208"/>
      <c r="W6" s="208"/>
    </row>
    <row r="7" spans="1:23" ht="30" customHeight="1">
      <c r="A7" s="513" t="s">
        <v>803</v>
      </c>
      <c r="B7" s="513"/>
      <c r="C7" s="572" t="s">
        <v>823</v>
      </c>
      <c r="D7" s="573"/>
      <c r="E7" s="573"/>
      <c r="F7" s="573"/>
      <c r="G7" s="573"/>
      <c r="H7" s="221"/>
      <c r="I7" s="214"/>
      <c r="J7" s="574" t="s">
        <v>443</v>
      </c>
      <c r="K7" s="574"/>
      <c r="L7" s="574"/>
      <c r="M7" s="222"/>
      <c r="N7" s="269">
        <v>44378</v>
      </c>
      <c r="O7" s="223"/>
      <c r="P7" s="224"/>
      <c r="Q7" s="207"/>
      <c r="R7" s="207"/>
      <c r="S7" s="207"/>
      <c r="T7" s="207"/>
      <c r="U7" s="208"/>
      <c r="V7" s="208"/>
      <c r="W7" s="208"/>
    </row>
    <row r="8" spans="1:23" ht="24.95" customHeight="1">
      <c r="A8" s="513" t="s">
        <v>804</v>
      </c>
      <c r="B8" s="513"/>
      <c r="C8" s="575" t="s">
        <v>835</v>
      </c>
      <c r="D8" s="575"/>
      <c r="E8" s="575"/>
      <c r="F8" s="575"/>
      <c r="G8" s="575"/>
      <c r="H8" s="221"/>
      <c r="I8" s="576" t="s">
        <v>519</v>
      </c>
      <c r="J8" s="541" t="s">
        <v>805</v>
      </c>
      <c r="K8" s="542"/>
      <c r="L8" s="577" t="s">
        <v>806</v>
      </c>
      <c r="M8" s="578"/>
      <c r="N8" s="579"/>
      <c r="O8" s="214"/>
      <c r="P8" s="220"/>
      <c r="Q8" s="207"/>
      <c r="R8" s="207"/>
      <c r="S8" s="207"/>
      <c r="T8" s="207"/>
      <c r="U8" s="208"/>
      <c r="V8" s="208"/>
      <c r="W8" s="208"/>
    </row>
    <row r="9" spans="1:23" ht="24.95" customHeight="1">
      <c r="A9" s="513" t="s">
        <v>807</v>
      </c>
      <c r="B9" s="513"/>
      <c r="C9" s="575" t="s">
        <v>900</v>
      </c>
      <c r="D9" s="575"/>
      <c r="E9" s="575"/>
      <c r="F9" s="575"/>
      <c r="G9" s="575"/>
      <c r="H9" s="221"/>
      <c r="I9" s="576"/>
      <c r="J9" s="541" t="s">
        <v>808</v>
      </c>
      <c r="K9" s="542"/>
      <c r="L9" s="543" t="str">
        <f>IFERROR((CONCATENATE(F13+K13," dias a partir da data de assinatura do convênio")),"Cálculo automático")</f>
        <v>1020 dias a partir da data de assinatura do convênio</v>
      </c>
      <c r="M9" s="543"/>
      <c r="N9" s="544"/>
      <c r="O9" s="214"/>
      <c r="P9" s="220"/>
      <c r="Q9" s="207"/>
      <c r="R9" s="207"/>
      <c r="S9" s="207"/>
      <c r="T9" s="207"/>
      <c r="U9" s="208"/>
      <c r="V9" s="208"/>
      <c r="W9" s="208"/>
    </row>
    <row r="10" spans="1:23">
      <c r="A10" s="274"/>
      <c r="B10" s="225"/>
      <c r="C10" s="22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73"/>
      <c r="O10" s="206"/>
      <c r="P10" s="216"/>
      <c r="Q10" s="207"/>
      <c r="R10" s="207"/>
      <c r="S10" s="207"/>
      <c r="T10" s="207"/>
      <c r="U10" s="208"/>
      <c r="V10" s="208"/>
      <c r="W10" s="208"/>
    </row>
    <row r="11" spans="1:23">
      <c r="A11" s="557" t="s">
        <v>520</v>
      </c>
      <c r="B11" s="559" t="s">
        <v>486</v>
      </c>
      <c r="C11" s="560"/>
      <c r="D11" s="557" t="s">
        <v>521</v>
      </c>
      <c r="E11" s="563" t="s">
        <v>809</v>
      </c>
      <c r="F11" s="563"/>
      <c r="G11" s="563"/>
      <c r="H11" s="563"/>
      <c r="I11" s="564" t="s">
        <v>810</v>
      </c>
      <c r="J11" s="564"/>
      <c r="K11" s="564"/>
      <c r="L11" s="564"/>
      <c r="M11" s="565"/>
      <c r="N11" s="566" t="s">
        <v>485</v>
      </c>
      <c r="O11" s="206"/>
      <c r="P11" s="226"/>
      <c r="Q11" s="207"/>
      <c r="R11" s="207"/>
      <c r="S11" s="207"/>
      <c r="T11" s="207"/>
      <c r="U11" s="208"/>
      <c r="V11" s="208"/>
      <c r="W11" s="208"/>
    </row>
    <row r="12" spans="1:23" ht="5.45" customHeight="1">
      <c r="A12" s="558"/>
      <c r="B12" s="561"/>
      <c r="C12" s="562"/>
      <c r="D12" s="558"/>
      <c r="E12" s="227"/>
      <c r="F12" s="228"/>
      <c r="G12" s="228"/>
      <c r="H12" s="228"/>
      <c r="I12" s="568"/>
      <c r="J12" s="568"/>
      <c r="K12" s="568"/>
      <c r="L12" s="568"/>
      <c r="M12" s="569"/>
      <c r="N12" s="567"/>
      <c r="O12" s="206"/>
      <c r="P12" s="207"/>
      <c r="Q12" s="207"/>
      <c r="R12" s="207"/>
      <c r="S12" s="207"/>
      <c r="T12" s="207"/>
      <c r="U12" s="208"/>
      <c r="V12" s="208"/>
      <c r="W12" s="208"/>
    </row>
    <row r="13" spans="1:23" ht="15" customHeight="1">
      <c r="A13" s="558"/>
      <c r="B13" s="561"/>
      <c r="C13" s="562"/>
      <c r="D13" s="558"/>
      <c r="E13" s="229" t="s">
        <v>811</v>
      </c>
      <c r="F13" s="230">
        <f>IF(G15="XXX","",SUM(G14:G16))</f>
        <v>510</v>
      </c>
      <c r="G13" s="231" t="s">
        <v>812</v>
      </c>
      <c r="H13" s="232"/>
      <c r="I13" s="570" t="s">
        <v>811</v>
      </c>
      <c r="J13" s="571"/>
      <c r="K13" s="230">
        <f>IF(L14="XXX","",SUM(L14:L16))</f>
        <v>510</v>
      </c>
      <c r="L13" s="535" t="s">
        <v>812</v>
      </c>
      <c r="M13" s="536"/>
      <c r="N13" s="567"/>
      <c r="O13" s="206"/>
      <c r="P13" s="207"/>
      <c r="Q13" s="207"/>
      <c r="R13" s="207"/>
      <c r="S13" s="207"/>
      <c r="T13" s="207"/>
      <c r="U13" s="208"/>
      <c r="V13" s="208"/>
      <c r="W13" s="208"/>
    </row>
    <row r="14" spans="1:23" ht="20.100000000000001" customHeight="1">
      <c r="A14" s="558"/>
      <c r="B14" s="561"/>
      <c r="C14" s="562"/>
      <c r="D14" s="558"/>
      <c r="E14" s="537" t="s">
        <v>813</v>
      </c>
      <c r="F14" s="538"/>
      <c r="G14" s="233">
        <v>180</v>
      </c>
      <c r="H14" s="234"/>
      <c r="I14" s="537" t="s">
        <v>814</v>
      </c>
      <c r="J14" s="538"/>
      <c r="K14" s="275"/>
      <c r="L14" s="235">
        <v>300</v>
      </c>
      <c r="M14" s="236"/>
      <c r="N14" s="567"/>
      <c r="O14" s="206"/>
      <c r="P14" s="237"/>
      <c r="Q14" s="207"/>
      <c r="R14" s="207"/>
      <c r="S14" s="207"/>
      <c r="T14" s="207"/>
      <c r="U14" s="208"/>
      <c r="V14" s="208"/>
      <c r="W14" s="208"/>
    </row>
    <row r="15" spans="1:23" ht="20.100000000000001" customHeight="1">
      <c r="A15" s="558"/>
      <c r="B15" s="561"/>
      <c r="C15" s="562"/>
      <c r="D15" s="558"/>
      <c r="E15" s="537" t="s">
        <v>814</v>
      </c>
      <c r="F15" s="538"/>
      <c r="G15" s="235">
        <v>300</v>
      </c>
      <c r="H15" s="238"/>
      <c r="I15" s="537" t="s">
        <v>815</v>
      </c>
      <c r="J15" s="538"/>
      <c r="K15" s="538"/>
      <c r="L15" s="233">
        <v>30</v>
      </c>
      <c r="M15" s="239"/>
      <c r="N15" s="567"/>
      <c r="O15" s="206"/>
      <c r="P15" s="237"/>
      <c r="Q15" s="207"/>
      <c r="R15" s="207"/>
      <c r="S15" s="207"/>
      <c r="T15" s="207"/>
      <c r="U15" s="208"/>
      <c r="V15" s="208"/>
      <c r="W15" s="208"/>
    </row>
    <row r="16" spans="1:23" ht="20.100000000000001" customHeight="1">
      <c r="A16" s="558"/>
      <c r="B16" s="561"/>
      <c r="C16" s="562"/>
      <c r="D16" s="558"/>
      <c r="E16" s="539" t="s">
        <v>815</v>
      </c>
      <c r="F16" s="540"/>
      <c r="G16" s="240">
        <v>30</v>
      </c>
      <c r="H16" s="241"/>
      <c r="I16" s="539" t="s">
        <v>816</v>
      </c>
      <c r="J16" s="540"/>
      <c r="K16" s="540"/>
      <c r="L16" s="240">
        <v>180</v>
      </c>
      <c r="M16" s="241"/>
      <c r="N16" s="567"/>
      <c r="O16" s="206"/>
      <c r="P16" s="237"/>
      <c r="Q16" s="207"/>
      <c r="R16" s="207"/>
      <c r="S16" s="207"/>
      <c r="T16" s="207"/>
      <c r="U16" s="208"/>
      <c r="V16" s="208"/>
      <c r="W16" s="208"/>
    </row>
    <row r="17" spans="1:14" ht="24.95" customHeight="1">
      <c r="A17" s="494">
        <v>1</v>
      </c>
      <c r="B17" s="484" t="s">
        <v>112</v>
      </c>
      <c r="C17" s="532"/>
      <c r="D17" s="242" t="s">
        <v>522</v>
      </c>
      <c r="E17" s="243"/>
      <c r="F17" s="488">
        <f>IFERROR($E18/N18,0)</f>
        <v>0.5000002379124987</v>
      </c>
      <c r="G17" s="488"/>
      <c r="H17" s="489"/>
      <c r="I17" s="244"/>
      <c r="J17" s="245"/>
      <c r="K17" s="490">
        <f>IFERROR($I18/N18,0)</f>
        <v>0.49999976208750141</v>
      </c>
      <c r="L17" s="490"/>
      <c r="M17" s="496"/>
      <c r="N17" s="246">
        <f>K17+F17</f>
        <v>1</v>
      </c>
    </row>
    <row r="18" spans="1:14" ht="24.95" customHeight="1">
      <c r="A18" s="495"/>
      <c r="B18" s="533"/>
      <c r="C18" s="534"/>
      <c r="D18" s="247" t="s">
        <v>523</v>
      </c>
      <c r="E18" s="491">
        <v>10508.07</v>
      </c>
      <c r="F18" s="492"/>
      <c r="G18" s="492"/>
      <c r="H18" s="493"/>
      <c r="I18" s="491">
        <v>10508.06</v>
      </c>
      <c r="J18" s="492"/>
      <c r="K18" s="492"/>
      <c r="L18" s="492"/>
      <c r="M18" s="493"/>
      <c r="N18" s="286">
        <f>IFERROR(E18+I18,0)</f>
        <v>21016.129999999997</v>
      </c>
    </row>
    <row r="19" spans="1:14" ht="24.95" customHeight="1">
      <c r="A19" s="494">
        <v>2</v>
      </c>
      <c r="B19" s="484" t="s">
        <v>129</v>
      </c>
      <c r="C19" s="485"/>
      <c r="D19" s="242" t="s">
        <v>522</v>
      </c>
      <c r="E19" s="243"/>
      <c r="F19" s="488">
        <f>IFERROR($E20/N20,0)</f>
        <v>0.5</v>
      </c>
      <c r="G19" s="488"/>
      <c r="H19" s="489"/>
      <c r="I19" s="244"/>
      <c r="J19" s="245"/>
      <c r="K19" s="490">
        <f>IFERROR($I20/N20,0)</f>
        <v>0.5</v>
      </c>
      <c r="L19" s="490"/>
      <c r="M19" s="496"/>
      <c r="N19" s="246">
        <f>K19+F19</f>
        <v>1</v>
      </c>
    </row>
    <row r="20" spans="1:14" ht="24.95" customHeight="1">
      <c r="A20" s="495"/>
      <c r="B20" s="486"/>
      <c r="C20" s="487"/>
      <c r="D20" s="247" t="s">
        <v>523</v>
      </c>
      <c r="E20" s="491">
        <v>6595.1</v>
      </c>
      <c r="F20" s="492"/>
      <c r="G20" s="492"/>
      <c r="H20" s="493"/>
      <c r="I20" s="529">
        <v>6595.1</v>
      </c>
      <c r="J20" s="530"/>
      <c r="K20" s="530"/>
      <c r="L20" s="530"/>
      <c r="M20" s="531"/>
      <c r="N20" s="286">
        <f>IFERROR(E20+I20,0)</f>
        <v>13190.2</v>
      </c>
    </row>
    <row r="21" spans="1:14" ht="24.95" customHeight="1">
      <c r="A21" s="494">
        <v>3</v>
      </c>
      <c r="B21" s="484" t="s">
        <v>141</v>
      </c>
      <c r="C21" s="485"/>
      <c r="D21" s="242" t="s">
        <v>522</v>
      </c>
      <c r="E21" s="243"/>
      <c r="F21" s="488">
        <f>IFERROR($E22/N22,0)</f>
        <v>0.5</v>
      </c>
      <c r="G21" s="488"/>
      <c r="H21" s="489"/>
      <c r="I21" s="244"/>
      <c r="J21" s="245"/>
      <c r="K21" s="490">
        <f>IFERROR($I22/N22,0)</f>
        <v>0.5</v>
      </c>
      <c r="L21" s="490"/>
      <c r="M21" s="496"/>
      <c r="N21" s="246">
        <f>K21+F21</f>
        <v>1</v>
      </c>
    </row>
    <row r="22" spans="1:14" ht="24.95" customHeight="1">
      <c r="A22" s="495"/>
      <c r="B22" s="486"/>
      <c r="C22" s="487"/>
      <c r="D22" s="247" t="s">
        <v>523</v>
      </c>
      <c r="E22" s="491">
        <v>8540.23</v>
      </c>
      <c r="F22" s="492"/>
      <c r="G22" s="492"/>
      <c r="H22" s="493"/>
      <c r="I22" s="491">
        <v>8540.23</v>
      </c>
      <c r="J22" s="492"/>
      <c r="K22" s="492"/>
      <c r="L22" s="492"/>
      <c r="M22" s="493"/>
      <c r="N22" s="286">
        <f>IFERROR(E22+I22,0)</f>
        <v>17080.46</v>
      </c>
    </row>
    <row r="23" spans="1:14" ht="24.95" customHeight="1">
      <c r="A23" s="494">
        <v>4</v>
      </c>
      <c r="B23" s="484" t="s">
        <v>143</v>
      </c>
      <c r="C23" s="485"/>
      <c r="D23" s="242" t="s">
        <v>522</v>
      </c>
      <c r="E23" s="243"/>
      <c r="F23" s="488">
        <f>IFERROR($E24/N24,0)</f>
        <v>0.5</v>
      </c>
      <c r="G23" s="488"/>
      <c r="H23" s="489"/>
      <c r="I23" s="244"/>
      <c r="J23" s="245"/>
      <c r="K23" s="490">
        <f>IFERROR($I24/N24,0)</f>
        <v>0.5</v>
      </c>
      <c r="L23" s="490"/>
      <c r="M23" s="496"/>
      <c r="N23" s="246">
        <f>K23+F23</f>
        <v>1</v>
      </c>
    </row>
    <row r="24" spans="1:14" ht="24.95" customHeight="1">
      <c r="A24" s="495"/>
      <c r="B24" s="486"/>
      <c r="C24" s="487"/>
      <c r="D24" s="247" t="s">
        <v>523</v>
      </c>
      <c r="E24" s="491">
        <v>12253.94</v>
      </c>
      <c r="F24" s="492"/>
      <c r="G24" s="492"/>
      <c r="H24" s="493"/>
      <c r="I24" s="491">
        <v>12253.94</v>
      </c>
      <c r="J24" s="492"/>
      <c r="K24" s="492"/>
      <c r="L24" s="492"/>
      <c r="M24" s="493"/>
      <c r="N24" s="286">
        <f>IFERROR(E24+I24,0)</f>
        <v>24507.88</v>
      </c>
    </row>
    <row r="25" spans="1:14" ht="24.95" customHeight="1">
      <c r="A25" s="494">
        <v>5</v>
      </c>
      <c r="B25" s="484" t="s">
        <v>154</v>
      </c>
      <c r="C25" s="485"/>
      <c r="D25" s="242" t="s">
        <v>522</v>
      </c>
      <c r="E25" s="243"/>
      <c r="F25" s="488">
        <f>IFERROR($E26/N26,0)</f>
        <v>0.50000003271113913</v>
      </c>
      <c r="G25" s="488"/>
      <c r="H25" s="489"/>
      <c r="I25" s="244"/>
      <c r="J25" s="245"/>
      <c r="K25" s="490">
        <f>IFERROR($I26/N26,0)</f>
        <v>0.49999996728886087</v>
      </c>
      <c r="L25" s="490"/>
      <c r="M25" s="496"/>
      <c r="N25" s="246">
        <f>K25+F25</f>
        <v>1</v>
      </c>
    </row>
    <row r="26" spans="1:14" ht="24.95" customHeight="1">
      <c r="A26" s="495"/>
      <c r="B26" s="486"/>
      <c r="C26" s="487"/>
      <c r="D26" s="247" t="s">
        <v>523</v>
      </c>
      <c r="E26" s="491">
        <v>76426.570000000007</v>
      </c>
      <c r="F26" s="492"/>
      <c r="G26" s="492"/>
      <c r="H26" s="493"/>
      <c r="I26" s="491">
        <v>76426.559999999998</v>
      </c>
      <c r="J26" s="492"/>
      <c r="K26" s="492"/>
      <c r="L26" s="492"/>
      <c r="M26" s="493"/>
      <c r="N26" s="286">
        <f>IFERROR(E26+I26,0)</f>
        <v>152853.13</v>
      </c>
    </row>
    <row r="27" spans="1:14" ht="24.95" customHeight="1">
      <c r="A27" s="494">
        <v>6</v>
      </c>
      <c r="B27" s="484" t="s">
        <v>167</v>
      </c>
      <c r="C27" s="485"/>
      <c r="D27" s="242" t="s">
        <v>522</v>
      </c>
      <c r="E27" s="243"/>
      <c r="F27" s="488">
        <f>IFERROR($E28/N28,0)</f>
        <v>0.5</v>
      </c>
      <c r="G27" s="488"/>
      <c r="H27" s="489"/>
      <c r="I27" s="244"/>
      <c r="J27" s="245"/>
      <c r="K27" s="490">
        <f>IFERROR($I28/N28,0)</f>
        <v>0.5</v>
      </c>
      <c r="L27" s="490"/>
      <c r="M27" s="496"/>
      <c r="N27" s="246">
        <f>K27+F27</f>
        <v>1</v>
      </c>
    </row>
    <row r="28" spans="1:14" ht="24.95" customHeight="1">
      <c r="A28" s="495"/>
      <c r="B28" s="486"/>
      <c r="C28" s="487"/>
      <c r="D28" s="247" t="s">
        <v>523</v>
      </c>
      <c r="E28" s="491">
        <v>921.34</v>
      </c>
      <c r="F28" s="492"/>
      <c r="G28" s="492"/>
      <c r="H28" s="493"/>
      <c r="I28" s="491">
        <v>921.34</v>
      </c>
      <c r="J28" s="492"/>
      <c r="K28" s="492"/>
      <c r="L28" s="492"/>
      <c r="M28" s="493"/>
      <c r="N28" s="286">
        <f>IFERROR(E28+I28,0)</f>
        <v>1842.68</v>
      </c>
    </row>
    <row r="29" spans="1:14" ht="24.95" customHeight="1">
      <c r="A29" s="494">
        <v>7</v>
      </c>
      <c r="B29" s="484" t="s">
        <v>826</v>
      </c>
      <c r="C29" s="485"/>
      <c r="D29" s="242" t="s">
        <v>522</v>
      </c>
      <c r="E29" s="243"/>
      <c r="F29" s="488">
        <f>IFERROR($E30/N30,0)</f>
        <v>0.50001107836837788</v>
      </c>
      <c r="G29" s="488"/>
      <c r="H29" s="489"/>
      <c r="I29" s="244"/>
      <c r="J29" s="245"/>
      <c r="K29" s="490">
        <f>IFERROR($I30/N30,0)</f>
        <v>0.49998892163162212</v>
      </c>
      <c r="L29" s="490"/>
      <c r="M29" s="496"/>
      <c r="N29" s="246">
        <f>K29+F29</f>
        <v>1</v>
      </c>
    </row>
    <row r="30" spans="1:14" ht="24.95" customHeight="1">
      <c r="A30" s="495"/>
      <c r="B30" s="486"/>
      <c r="C30" s="487"/>
      <c r="D30" s="247" t="s">
        <v>523</v>
      </c>
      <c r="E30" s="491">
        <v>225.67</v>
      </c>
      <c r="F30" s="492"/>
      <c r="G30" s="492"/>
      <c r="H30" s="493"/>
      <c r="I30" s="491">
        <v>225.66</v>
      </c>
      <c r="J30" s="492"/>
      <c r="K30" s="492"/>
      <c r="L30" s="492"/>
      <c r="M30" s="493"/>
      <c r="N30" s="286">
        <f>IFERROR(E30+I30,0)</f>
        <v>451.33</v>
      </c>
    </row>
    <row r="31" spans="1:14" ht="24.95" customHeight="1">
      <c r="A31" s="494">
        <v>8</v>
      </c>
      <c r="B31" s="484" t="s">
        <v>827</v>
      </c>
      <c r="C31" s="485"/>
      <c r="D31" s="242" t="s">
        <v>522</v>
      </c>
      <c r="E31" s="243"/>
      <c r="F31" s="488">
        <f>IFERROR($E32/N32,0)</f>
        <v>0.5</v>
      </c>
      <c r="G31" s="488"/>
      <c r="H31" s="489"/>
      <c r="I31" s="244"/>
      <c r="J31" s="245"/>
      <c r="K31" s="490">
        <f>IFERROR($I32/N32,0)</f>
        <v>0.5</v>
      </c>
      <c r="L31" s="490"/>
      <c r="M31" s="496"/>
      <c r="N31" s="246">
        <f>K31+F31</f>
        <v>1</v>
      </c>
    </row>
    <row r="32" spans="1:14" ht="24.95" customHeight="1">
      <c r="A32" s="495"/>
      <c r="B32" s="486"/>
      <c r="C32" s="487"/>
      <c r="D32" s="247" t="s">
        <v>523</v>
      </c>
      <c r="E32" s="491">
        <v>10098.65</v>
      </c>
      <c r="F32" s="492"/>
      <c r="G32" s="492"/>
      <c r="H32" s="493"/>
      <c r="I32" s="491">
        <v>10098.65</v>
      </c>
      <c r="J32" s="492"/>
      <c r="K32" s="492"/>
      <c r="L32" s="492"/>
      <c r="M32" s="493"/>
      <c r="N32" s="286">
        <f>IFERROR(E32+I32,0)</f>
        <v>20197.3</v>
      </c>
    </row>
    <row r="33" spans="1:14" ht="24.95" customHeight="1">
      <c r="A33" s="494">
        <v>9</v>
      </c>
      <c r="B33" s="484" t="s">
        <v>194</v>
      </c>
      <c r="C33" s="485"/>
      <c r="D33" s="242" t="s">
        <v>522</v>
      </c>
      <c r="E33" s="243"/>
      <c r="F33" s="488">
        <f>IFERROR($E34/N34,0)</f>
        <v>0.50000086630039486</v>
      </c>
      <c r="G33" s="488"/>
      <c r="H33" s="489"/>
      <c r="I33" s="244"/>
      <c r="J33" s="245"/>
      <c r="K33" s="490">
        <f>IFERROR($I34/N34,0)</f>
        <v>0.49999913369960514</v>
      </c>
      <c r="L33" s="490"/>
      <c r="M33" s="496"/>
      <c r="N33" s="246">
        <f>K33+F33</f>
        <v>1</v>
      </c>
    </row>
    <row r="34" spans="1:14" ht="24.95" customHeight="1">
      <c r="A34" s="495"/>
      <c r="B34" s="486"/>
      <c r="C34" s="487"/>
      <c r="D34" s="247" t="s">
        <v>523</v>
      </c>
      <c r="E34" s="491">
        <v>2885.84</v>
      </c>
      <c r="F34" s="492"/>
      <c r="G34" s="492"/>
      <c r="H34" s="493"/>
      <c r="I34" s="491">
        <v>2885.83</v>
      </c>
      <c r="J34" s="492"/>
      <c r="K34" s="492"/>
      <c r="L34" s="492"/>
      <c r="M34" s="493"/>
      <c r="N34" s="286">
        <f>IFERROR(E34+I34,0)</f>
        <v>5771.67</v>
      </c>
    </row>
    <row r="35" spans="1:14" ht="24.95" customHeight="1">
      <c r="A35" s="494">
        <v>10</v>
      </c>
      <c r="B35" s="484" t="s">
        <v>197</v>
      </c>
      <c r="C35" s="485"/>
      <c r="D35" s="242" t="s">
        <v>522</v>
      </c>
      <c r="E35" s="243"/>
      <c r="F35" s="488">
        <f>IFERROR($E36/N36,0)</f>
        <v>0.50000038455237716</v>
      </c>
      <c r="G35" s="488"/>
      <c r="H35" s="489"/>
      <c r="I35" s="244"/>
      <c r="J35" s="245"/>
      <c r="K35" s="490">
        <f>IFERROR($I36/N36,0)</f>
        <v>0.49999961544762278</v>
      </c>
      <c r="L35" s="490"/>
      <c r="M35" s="496"/>
      <c r="N35" s="246">
        <f>K35+F35</f>
        <v>1</v>
      </c>
    </row>
    <row r="36" spans="1:14" ht="24.95" customHeight="1">
      <c r="A36" s="495"/>
      <c r="B36" s="486"/>
      <c r="C36" s="487"/>
      <c r="D36" s="247" t="s">
        <v>523</v>
      </c>
      <c r="E36" s="491">
        <v>6501.07</v>
      </c>
      <c r="F36" s="492"/>
      <c r="G36" s="492"/>
      <c r="H36" s="493"/>
      <c r="I36" s="491">
        <v>6501.06</v>
      </c>
      <c r="J36" s="492"/>
      <c r="K36" s="492"/>
      <c r="L36" s="492"/>
      <c r="M36" s="493"/>
      <c r="N36" s="286">
        <f>IFERROR(E36+I36,0)</f>
        <v>13002.130000000001</v>
      </c>
    </row>
    <row r="37" spans="1:14" ht="24.95" customHeight="1">
      <c r="A37" s="494">
        <v>11</v>
      </c>
      <c r="B37" s="484" t="s">
        <v>578</v>
      </c>
      <c r="C37" s="485"/>
      <c r="D37" s="242" t="s">
        <v>522</v>
      </c>
      <c r="E37" s="243"/>
      <c r="F37" s="488">
        <f>IFERROR($E38/N38,0)</f>
        <v>0.49999925948635016</v>
      </c>
      <c r="G37" s="488"/>
      <c r="H37" s="489"/>
      <c r="I37" s="244"/>
      <c r="J37" s="245"/>
      <c r="K37" s="490">
        <f>IFERROR($I38/N38,0)</f>
        <v>0.50000074051364995</v>
      </c>
      <c r="L37" s="490"/>
      <c r="M37" s="496"/>
      <c r="N37" s="246">
        <f>K37+F37</f>
        <v>1</v>
      </c>
    </row>
    <row r="38" spans="1:14" ht="24.95" customHeight="1">
      <c r="A38" s="495"/>
      <c r="B38" s="486"/>
      <c r="C38" s="487"/>
      <c r="D38" s="247" t="s">
        <v>523</v>
      </c>
      <c r="E38" s="491">
        <v>3376.03</v>
      </c>
      <c r="F38" s="492"/>
      <c r="G38" s="492"/>
      <c r="H38" s="493"/>
      <c r="I38" s="491">
        <v>3376.04</v>
      </c>
      <c r="J38" s="492"/>
      <c r="K38" s="492"/>
      <c r="L38" s="492"/>
      <c r="M38" s="493"/>
      <c r="N38" s="286">
        <f>IFERROR(E38+I38,0)</f>
        <v>6752.07</v>
      </c>
    </row>
    <row r="39" spans="1:14" ht="24.95" customHeight="1">
      <c r="A39" s="494">
        <v>12</v>
      </c>
      <c r="B39" s="484" t="s">
        <v>828</v>
      </c>
      <c r="C39" s="485"/>
      <c r="D39" s="242" t="s">
        <v>522</v>
      </c>
      <c r="E39" s="243"/>
      <c r="F39" s="488">
        <f>IFERROR($E40/N40,0)</f>
        <v>0.5</v>
      </c>
      <c r="G39" s="488"/>
      <c r="H39" s="489"/>
      <c r="I39" s="244"/>
      <c r="J39" s="245"/>
      <c r="K39" s="490">
        <f>IFERROR($I40/N40,0)</f>
        <v>0.5</v>
      </c>
      <c r="L39" s="490"/>
      <c r="M39" s="496"/>
      <c r="N39" s="246">
        <f>K39+F39</f>
        <v>1</v>
      </c>
    </row>
    <row r="40" spans="1:14" ht="24.95" customHeight="1">
      <c r="A40" s="495"/>
      <c r="B40" s="486"/>
      <c r="C40" s="487"/>
      <c r="D40" s="247" t="s">
        <v>523</v>
      </c>
      <c r="E40" s="491">
        <v>5473.2</v>
      </c>
      <c r="F40" s="492"/>
      <c r="G40" s="492"/>
      <c r="H40" s="493"/>
      <c r="I40" s="491">
        <v>5473.2</v>
      </c>
      <c r="J40" s="492"/>
      <c r="K40" s="492"/>
      <c r="L40" s="492"/>
      <c r="M40" s="493"/>
      <c r="N40" s="286">
        <f>IFERROR(E40+I40,0)</f>
        <v>10946.4</v>
      </c>
    </row>
    <row r="41" spans="1:14" ht="24.95" customHeight="1">
      <c r="A41" s="494">
        <v>13</v>
      </c>
      <c r="B41" s="484" t="s">
        <v>579</v>
      </c>
      <c r="C41" s="485"/>
      <c r="D41" s="242" t="s">
        <v>522</v>
      </c>
      <c r="E41" s="243"/>
      <c r="F41" s="488">
        <f>IFERROR($E42/N42,0)</f>
        <v>0.49999980512695391</v>
      </c>
      <c r="G41" s="488"/>
      <c r="H41" s="489"/>
      <c r="I41" s="244"/>
      <c r="J41" s="245"/>
      <c r="K41" s="490">
        <f>IFERROR($I42/N42,0)</f>
        <v>0.50000019487304603</v>
      </c>
      <c r="L41" s="490"/>
      <c r="M41" s="496"/>
      <c r="N41" s="246">
        <f>K41+F41</f>
        <v>1</v>
      </c>
    </row>
    <row r="42" spans="1:14" ht="24.95" customHeight="1">
      <c r="A42" s="495"/>
      <c r="B42" s="486"/>
      <c r="C42" s="487"/>
      <c r="D42" s="247" t="s">
        <v>523</v>
      </c>
      <c r="E42" s="491">
        <v>12828.86</v>
      </c>
      <c r="F42" s="492"/>
      <c r="G42" s="492"/>
      <c r="H42" s="493"/>
      <c r="I42" s="491">
        <v>12828.87</v>
      </c>
      <c r="J42" s="492"/>
      <c r="K42" s="492"/>
      <c r="L42" s="492"/>
      <c r="M42" s="493"/>
      <c r="N42" s="286">
        <f>IFERROR(E42+I42,0)</f>
        <v>25657.730000000003</v>
      </c>
    </row>
    <row r="43" spans="1:14" ht="24.95" customHeight="1">
      <c r="A43" s="494">
        <v>14</v>
      </c>
      <c r="B43" s="484" t="s">
        <v>580</v>
      </c>
      <c r="C43" s="485"/>
      <c r="D43" s="242" t="s">
        <v>522</v>
      </c>
      <c r="E43" s="243"/>
      <c r="F43" s="488">
        <f>IFERROR($E44/N44,0)</f>
        <v>0.50000439255374285</v>
      </c>
      <c r="G43" s="488"/>
      <c r="H43" s="489"/>
      <c r="I43" s="336"/>
      <c r="J43" s="245"/>
      <c r="K43" s="490">
        <f>IFERROR($I44/N44,0)</f>
        <v>0.4999956074462571</v>
      </c>
      <c r="L43" s="490"/>
      <c r="M43" s="496"/>
      <c r="N43" s="246">
        <f>K43+F43</f>
        <v>1</v>
      </c>
    </row>
    <row r="44" spans="1:14" ht="24.95" customHeight="1">
      <c r="A44" s="525"/>
      <c r="B44" s="526"/>
      <c r="C44" s="527"/>
      <c r="D44" s="247" t="s">
        <v>523</v>
      </c>
      <c r="E44" s="491">
        <v>569.15</v>
      </c>
      <c r="F44" s="492"/>
      <c r="G44" s="492"/>
      <c r="H44" s="493"/>
      <c r="I44" s="528">
        <v>569.14</v>
      </c>
      <c r="J44" s="498"/>
      <c r="K44" s="498"/>
      <c r="L44" s="498"/>
      <c r="M44" s="499"/>
      <c r="N44" s="287">
        <f>IFERROR(E44+I44,0)</f>
        <v>1138.29</v>
      </c>
    </row>
    <row r="45" spans="1:14" ht="24.95" customHeight="1">
      <c r="A45" s="494">
        <v>15</v>
      </c>
      <c r="B45" s="484" t="s">
        <v>419</v>
      </c>
      <c r="C45" s="485"/>
      <c r="D45" s="242" t="s">
        <v>522</v>
      </c>
      <c r="E45" s="243"/>
      <c r="F45" s="488">
        <f>IFERROR($E46/N46,0)</f>
        <v>0.49999978679247614</v>
      </c>
      <c r="G45" s="488"/>
      <c r="H45" s="489"/>
      <c r="I45" s="244"/>
      <c r="J45" s="245"/>
      <c r="K45" s="490">
        <f>IFERROR($I46/N46,0)</f>
        <v>0.50000021320752386</v>
      </c>
      <c r="L45" s="490"/>
      <c r="M45" s="496"/>
      <c r="N45" s="271">
        <f>K45+F45</f>
        <v>1</v>
      </c>
    </row>
    <row r="46" spans="1:14" ht="24.95" customHeight="1">
      <c r="A46" s="495"/>
      <c r="B46" s="486"/>
      <c r="C46" s="487"/>
      <c r="D46" s="247" t="s">
        <v>523</v>
      </c>
      <c r="E46" s="491">
        <v>11725.66</v>
      </c>
      <c r="F46" s="492"/>
      <c r="G46" s="492"/>
      <c r="H46" s="493"/>
      <c r="I46" s="497">
        <v>11725.67</v>
      </c>
      <c r="J46" s="498"/>
      <c r="K46" s="498"/>
      <c r="L46" s="498"/>
      <c r="M46" s="499"/>
      <c r="N46" s="288">
        <f>IFERROR(E46+I46,0)</f>
        <v>23451.33</v>
      </c>
    </row>
    <row r="47" spans="1:14" ht="24.95" customHeight="1">
      <c r="A47" s="494">
        <v>16</v>
      </c>
      <c r="B47" s="484" t="s">
        <v>329</v>
      </c>
      <c r="C47" s="485"/>
      <c r="D47" s="242" t="s">
        <v>522</v>
      </c>
      <c r="E47" s="243"/>
      <c r="F47" s="488">
        <f>IFERROR($E48/N48,0)</f>
        <v>0.5</v>
      </c>
      <c r="G47" s="488"/>
      <c r="H47" s="489"/>
      <c r="I47" s="244"/>
      <c r="J47" s="245"/>
      <c r="K47" s="490">
        <f>IFERROR($I48/N48,0)</f>
        <v>0.5</v>
      </c>
      <c r="L47" s="490"/>
      <c r="M47" s="496"/>
      <c r="N47" s="271">
        <f>K47+F47</f>
        <v>1</v>
      </c>
    </row>
    <row r="48" spans="1:14" ht="24.95" customHeight="1">
      <c r="A48" s="495"/>
      <c r="B48" s="486"/>
      <c r="C48" s="487"/>
      <c r="D48" s="247" t="s">
        <v>523</v>
      </c>
      <c r="E48" s="491">
        <v>1220.22</v>
      </c>
      <c r="F48" s="492"/>
      <c r="G48" s="492"/>
      <c r="H48" s="493"/>
      <c r="I48" s="497">
        <v>1220.22</v>
      </c>
      <c r="J48" s="498"/>
      <c r="K48" s="498"/>
      <c r="L48" s="498"/>
      <c r="M48" s="499"/>
      <c r="N48" s="288">
        <f>IFERROR(E48+I48,0)</f>
        <v>2440.44</v>
      </c>
    </row>
    <row r="49" spans="1:14" ht="24.95" customHeight="1">
      <c r="A49" s="494">
        <v>1</v>
      </c>
      <c r="B49" s="484" t="s">
        <v>581</v>
      </c>
      <c r="C49" s="485"/>
      <c r="D49" s="242" t="s">
        <v>522</v>
      </c>
      <c r="E49" s="243"/>
      <c r="F49" s="488">
        <f>IFERROR($E50/N50,0)</f>
        <v>0.49999987004849006</v>
      </c>
      <c r="G49" s="488"/>
      <c r="H49" s="489"/>
      <c r="I49" s="244"/>
      <c r="J49" s="245"/>
      <c r="K49" s="490">
        <f>IFERROR($I50/N50,0)</f>
        <v>0.50000012995150989</v>
      </c>
      <c r="L49" s="490"/>
      <c r="M49" s="496"/>
      <c r="N49" s="271">
        <f>K49+F49</f>
        <v>1</v>
      </c>
    </row>
    <row r="50" spans="1:14" ht="24.95" customHeight="1">
      <c r="A50" s="495"/>
      <c r="B50" s="486"/>
      <c r="C50" s="487"/>
      <c r="D50" s="247" t="s">
        <v>523</v>
      </c>
      <c r="E50" s="491">
        <v>19237.939999999999</v>
      </c>
      <c r="F50" s="492"/>
      <c r="G50" s="492"/>
      <c r="H50" s="493"/>
      <c r="I50" s="491">
        <v>19237.95</v>
      </c>
      <c r="J50" s="492"/>
      <c r="K50" s="492"/>
      <c r="L50" s="492"/>
      <c r="M50" s="493"/>
      <c r="N50" s="270">
        <f>IFERROR(E50+I50,0)</f>
        <v>38475.89</v>
      </c>
    </row>
    <row r="51" spans="1:14" ht="24.95" customHeight="1">
      <c r="A51" s="494">
        <v>2</v>
      </c>
      <c r="B51" s="484" t="s">
        <v>526</v>
      </c>
      <c r="C51" s="485"/>
      <c r="D51" s="242" t="s">
        <v>522</v>
      </c>
      <c r="E51" s="243"/>
      <c r="F51" s="488">
        <f>IFERROR($E52/N52,0)</f>
        <v>0.5</v>
      </c>
      <c r="G51" s="488"/>
      <c r="H51" s="489"/>
      <c r="I51" s="244"/>
      <c r="J51" s="245"/>
      <c r="K51" s="490">
        <f>IFERROR($I52/N52,0)</f>
        <v>0.5</v>
      </c>
      <c r="L51" s="490"/>
      <c r="M51" s="490"/>
      <c r="N51" s="246">
        <f>K51+F51</f>
        <v>1</v>
      </c>
    </row>
    <row r="52" spans="1:14" ht="24.95" customHeight="1">
      <c r="A52" s="495"/>
      <c r="B52" s="486"/>
      <c r="C52" s="487"/>
      <c r="D52" s="247" t="s">
        <v>523</v>
      </c>
      <c r="E52" s="491">
        <v>7309.2</v>
      </c>
      <c r="F52" s="492"/>
      <c r="G52" s="492"/>
      <c r="H52" s="493"/>
      <c r="I52" s="491">
        <v>7309.2</v>
      </c>
      <c r="J52" s="492"/>
      <c r="K52" s="492"/>
      <c r="L52" s="492"/>
      <c r="M52" s="493"/>
      <c r="N52" s="288">
        <f>IFERROR(E52+I52,0)</f>
        <v>14618.4</v>
      </c>
    </row>
    <row r="53" spans="1:14" ht="24.95" customHeight="1">
      <c r="A53" s="494">
        <v>3</v>
      </c>
      <c r="B53" s="484" t="s">
        <v>544</v>
      </c>
      <c r="C53" s="485"/>
      <c r="D53" s="242" t="s">
        <v>522</v>
      </c>
      <c r="E53" s="243"/>
      <c r="F53" s="488">
        <f>IFERROR($E54/N54,0)</f>
        <v>0.49999944172689503</v>
      </c>
      <c r="G53" s="488"/>
      <c r="H53" s="489"/>
      <c r="I53" s="244"/>
      <c r="J53" s="245"/>
      <c r="K53" s="490">
        <f>IFERROR($I54/N54,0)</f>
        <v>0.50000055827310497</v>
      </c>
      <c r="L53" s="490"/>
      <c r="M53" s="490"/>
      <c r="N53" s="246">
        <f>K53+F53</f>
        <v>1</v>
      </c>
    </row>
    <row r="54" spans="1:14" ht="24.95" customHeight="1">
      <c r="A54" s="495"/>
      <c r="B54" s="486"/>
      <c r="C54" s="487"/>
      <c r="D54" s="247" t="s">
        <v>523</v>
      </c>
      <c r="E54" s="491">
        <v>4478.09</v>
      </c>
      <c r="F54" s="492"/>
      <c r="G54" s="492"/>
      <c r="H54" s="493"/>
      <c r="I54" s="491">
        <v>4478.1000000000004</v>
      </c>
      <c r="J54" s="492"/>
      <c r="K54" s="492"/>
      <c r="L54" s="492"/>
      <c r="M54" s="493"/>
      <c r="N54" s="288">
        <f>IFERROR(E54+I54,0)</f>
        <v>8956.19</v>
      </c>
    </row>
    <row r="55" spans="1:14" ht="24.95" customHeight="1">
      <c r="A55" s="494">
        <v>4</v>
      </c>
      <c r="B55" s="484" t="s">
        <v>829</v>
      </c>
      <c r="C55" s="485"/>
      <c r="D55" s="242" t="s">
        <v>522</v>
      </c>
      <c r="E55" s="243"/>
      <c r="F55" s="488">
        <f>IFERROR($E56/N56,0)</f>
        <v>0.49999965970954169</v>
      </c>
      <c r="G55" s="488"/>
      <c r="H55" s="489"/>
      <c r="I55" s="244"/>
      <c r="J55" s="245"/>
      <c r="K55" s="490">
        <f>IFERROR($I56/N56,0)</f>
        <v>0.50000034029045837</v>
      </c>
      <c r="L55" s="490"/>
      <c r="M55" s="490"/>
      <c r="N55" s="246">
        <f>K55+F55</f>
        <v>1</v>
      </c>
    </row>
    <row r="56" spans="1:14" ht="24.95" customHeight="1">
      <c r="A56" s="495"/>
      <c r="B56" s="486"/>
      <c r="C56" s="487"/>
      <c r="D56" s="247" t="s">
        <v>523</v>
      </c>
      <c r="E56" s="491">
        <v>7346.66</v>
      </c>
      <c r="F56" s="492"/>
      <c r="G56" s="492"/>
      <c r="H56" s="493"/>
      <c r="I56" s="491">
        <v>7346.67</v>
      </c>
      <c r="J56" s="492"/>
      <c r="K56" s="492"/>
      <c r="L56" s="492"/>
      <c r="M56" s="493"/>
      <c r="N56" s="288">
        <f>IFERROR(E56+I56,0)</f>
        <v>14693.33</v>
      </c>
    </row>
    <row r="57" spans="1:14" ht="24.95" customHeight="1">
      <c r="A57" s="482">
        <v>5</v>
      </c>
      <c r="B57" s="484" t="s">
        <v>830</v>
      </c>
      <c r="C57" s="485"/>
      <c r="D57" s="242" t="s">
        <v>522</v>
      </c>
      <c r="E57" s="243"/>
      <c r="F57" s="488">
        <f>IFERROR($E58/N58,0)</f>
        <v>0.5</v>
      </c>
      <c r="G57" s="488"/>
      <c r="H57" s="489"/>
      <c r="I57" s="244"/>
      <c r="J57" s="245"/>
      <c r="K57" s="490">
        <f>IFERROR($I58/N58,0)</f>
        <v>0.5</v>
      </c>
      <c r="L57" s="490"/>
      <c r="M57" s="490"/>
      <c r="N57" s="246">
        <f>K57+F57</f>
        <v>1</v>
      </c>
    </row>
    <row r="58" spans="1:14" ht="24.95" customHeight="1">
      <c r="A58" s="483"/>
      <c r="B58" s="486"/>
      <c r="C58" s="487"/>
      <c r="D58" s="247" t="s">
        <v>523</v>
      </c>
      <c r="E58" s="491">
        <v>9399.1</v>
      </c>
      <c r="F58" s="492"/>
      <c r="G58" s="492"/>
      <c r="H58" s="493"/>
      <c r="I58" s="491">
        <v>9399.1</v>
      </c>
      <c r="J58" s="492"/>
      <c r="K58" s="492"/>
      <c r="L58" s="492"/>
      <c r="M58" s="493"/>
      <c r="N58" s="288">
        <f>IFERROR(E58+I58,0)</f>
        <v>18798.2</v>
      </c>
    </row>
    <row r="59" spans="1:14" ht="24.95" customHeight="1">
      <c r="A59" s="482">
        <v>6</v>
      </c>
      <c r="B59" s="484" t="s">
        <v>831</v>
      </c>
      <c r="C59" s="485"/>
      <c r="D59" s="242" t="s">
        <v>522</v>
      </c>
      <c r="E59" s="243"/>
      <c r="F59" s="488">
        <f>IFERROR($E60/N60,0)</f>
        <v>0.5</v>
      </c>
      <c r="G59" s="488"/>
      <c r="H59" s="489"/>
      <c r="I59" s="244"/>
      <c r="J59" s="245"/>
      <c r="K59" s="490">
        <f>IFERROR($I60/N60,0)</f>
        <v>0.5</v>
      </c>
      <c r="L59" s="490"/>
      <c r="M59" s="490"/>
      <c r="N59" s="246">
        <f>K59+F59</f>
        <v>1</v>
      </c>
    </row>
    <row r="60" spans="1:14" ht="24.95" customHeight="1">
      <c r="A60" s="483"/>
      <c r="B60" s="486"/>
      <c r="C60" s="487"/>
      <c r="D60" s="247" t="s">
        <v>523</v>
      </c>
      <c r="E60" s="491">
        <v>13393.09</v>
      </c>
      <c r="F60" s="492"/>
      <c r="G60" s="492"/>
      <c r="H60" s="493"/>
      <c r="I60" s="491">
        <v>13393.09</v>
      </c>
      <c r="J60" s="492"/>
      <c r="K60" s="492"/>
      <c r="L60" s="492"/>
      <c r="M60" s="493"/>
      <c r="N60" s="288">
        <f>IFERROR(E60+I60,0)</f>
        <v>26786.18</v>
      </c>
    </row>
    <row r="61" spans="1:14" ht="24.95" customHeight="1">
      <c r="A61" s="482">
        <v>7</v>
      </c>
      <c r="B61" s="484" t="s">
        <v>197</v>
      </c>
      <c r="C61" s="485"/>
      <c r="D61" s="242" t="s">
        <v>522</v>
      </c>
      <c r="E61" s="243"/>
      <c r="F61" s="488">
        <f>IFERROR($E62/N62,0)</f>
        <v>0.5</v>
      </c>
      <c r="G61" s="488"/>
      <c r="H61" s="489"/>
      <c r="I61" s="244"/>
      <c r="J61" s="245"/>
      <c r="K61" s="490">
        <f>IFERROR($I62/N62,0)</f>
        <v>0.5</v>
      </c>
      <c r="L61" s="490"/>
      <c r="M61" s="490"/>
      <c r="N61" s="246">
        <f>K61+F61</f>
        <v>1</v>
      </c>
    </row>
    <row r="62" spans="1:14" ht="24.95" customHeight="1">
      <c r="A62" s="483"/>
      <c r="B62" s="486"/>
      <c r="C62" s="487"/>
      <c r="D62" s="247" t="s">
        <v>523</v>
      </c>
      <c r="E62" s="491">
        <v>16679.62</v>
      </c>
      <c r="F62" s="492"/>
      <c r="G62" s="492"/>
      <c r="H62" s="493"/>
      <c r="I62" s="491">
        <v>16679.62</v>
      </c>
      <c r="J62" s="492"/>
      <c r="K62" s="492"/>
      <c r="L62" s="492"/>
      <c r="M62" s="493"/>
      <c r="N62" s="288">
        <f>IFERROR(E62+I62,0)</f>
        <v>33359.24</v>
      </c>
    </row>
    <row r="63" spans="1:14" ht="24.95" customHeight="1">
      <c r="A63" s="482">
        <v>8</v>
      </c>
      <c r="B63" s="484" t="s">
        <v>836</v>
      </c>
      <c r="C63" s="485"/>
      <c r="D63" s="242" t="s">
        <v>522</v>
      </c>
      <c r="E63" s="243"/>
      <c r="F63" s="488">
        <f>IFERROR($E64/N64,0)</f>
        <v>0.5</v>
      </c>
      <c r="G63" s="488"/>
      <c r="H63" s="489"/>
      <c r="I63" s="244"/>
      <c r="J63" s="245"/>
      <c r="K63" s="490">
        <f>IFERROR($I64/N64,0)</f>
        <v>0.5</v>
      </c>
      <c r="L63" s="490"/>
      <c r="M63" s="490"/>
      <c r="N63" s="246">
        <f>K63+F63</f>
        <v>1</v>
      </c>
    </row>
    <row r="64" spans="1:14" ht="24.95" customHeight="1">
      <c r="A64" s="483"/>
      <c r="B64" s="486"/>
      <c r="C64" s="487"/>
      <c r="D64" s="247" t="s">
        <v>523</v>
      </c>
      <c r="E64" s="491">
        <v>43688.92</v>
      </c>
      <c r="F64" s="492"/>
      <c r="G64" s="492"/>
      <c r="H64" s="493"/>
      <c r="I64" s="491">
        <v>43688.92</v>
      </c>
      <c r="J64" s="492"/>
      <c r="K64" s="492"/>
      <c r="L64" s="492"/>
      <c r="M64" s="493"/>
      <c r="N64" s="288">
        <f>IFERROR(E64+I64,0)</f>
        <v>87377.84</v>
      </c>
    </row>
    <row r="65" spans="1:23">
      <c r="A65" s="522"/>
      <c r="B65" s="523"/>
      <c r="C65" s="523"/>
      <c r="D65" s="524"/>
      <c r="E65" s="522"/>
      <c r="F65" s="523"/>
      <c r="G65" s="523"/>
      <c r="H65" s="523"/>
      <c r="I65" s="523"/>
      <c r="J65" s="523"/>
      <c r="K65" s="523"/>
      <c r="L65" s="523"/>
      <c r="M65" s="524"/>
      <c r="N65" s="250"/>
      <c r="O65" s="206"/>
      <c r="Q65" s="251"/>
      <c r="R65" s="251"/>
      <c r="S65" s="251"/>
      <c r="T65" s="251"/>
      <c r="U65" s="252"/>
      <c r="V65" s="208"/>
      <c r="W65" s="208"/>
    </row>
    <row r="66" spans="1:23" ht="30" customHeight="1">
      <c r="A66" s="513" t="s">
        <v>817</v>
      </c>
      <c r="B66" s="513"/>
      <c r="C66" s="513"/>
      <c r="D66" s="513"/>
      <c r="E66" s="519">
        <f>IFERROR(E68-E67,"")</f>
        <v>291682.22000000003</v>
      </c>
      <c r="F66" s="520"/>
      <c r="G66" s="520"/>
      <c r="H66" s="521"/>
      <c r="I66" s="519">
        <f>IFERROR(I68-I67,"")</f>
        <v>291682.22000000009</v>
      </c>
      <c r="J66" s="520"/>
      <c r="K66" s="520"/>
      <c r="L66" s="520"/>
      <c r="M66" s="521"/>
      <c r="N66" s="289">
        <f>IFERROR(E66+I66,"")</f>
        <v>583364.44000000018</v>
      </c>
      <c r="O66" s="206"/>
      <c r="Q66" s="251"/>
      <c r="R66" s="251"/>
      <c r="S66" s="251"/>
      <c r="T66" s="251"/>
      <c r="U66" s="252"/>
      <c r="V66" s="208"/>
      <c r="W66" s="208"/>
    </row>
    <row r="67" spans="1:23" ht="30" customHeight="1">
      <c r="A67" s="513" t="s">
        <v>818</v>
      </c>
      <c r="B67" s="513"/>
      <c r="C67" s="513"/>
      <c r="D67" s="513"/>
      <c r="E67" s="514">
        <v>0</v>
      </c>
      <c r="F67" s="515"/>
      <c r="G67" s="515"/>
      <c r="H67" s="515"/>
      <c r="I67" s="516">
        <v>0</v>
      </c>
      <c r="J67" s="517"/>
      <c r="K67" s="517"/>
      <c r="L67" s="517"/>
      <c r="M67" s="518"/>
      <c r="N67" s="253">
        <f>IFERROR(E67+I67,"")</f>
        <v>0</v>
      </c>
      <c r="O67" s="206"/>
      <c r="Q67" s="207"/>
      <c r="R67" s="251"/>
      <c r="S67" s="251"/>
      <c r="T67" s="251"/>
      <c r="U67" s="252"/>
      <c r="V67" s="208"/>
      <c r="W67" s="208"/>
    </row>
    <row r="68" spans="1:23" ht="35.1" customHeight="1">
      <c r="A68" s="513" t="s">
        <v>819</v>
      </c>
      <c r="B68" s="513"/>
      <c r="C68" s="513"/>
      <c r="D68" s="513"/>
      <c r="E68" s="519">
        <f>SUMIF(E17:E64,"&gt;0")</f>
        <v>291682.22000000003</v>
      </c>
      <c r="F68" s="520"/>
      <c r="G68" s="520"/>
      <c r="H68" s="521"/>
      <c r="I68" s="519">
        <f>SUMIF(I17:I64,"&gt;0")</f>
        <v>291682.22000000009</v>
      </c>
      <c r="J68" s="520"/>
      <c r="K68" s="520"/>
      <c r="L68" s="520"/>
      <c r="M68" s="521"/>
      <c r="N68" s="290">
        <f>IFERROR(E68+I68,"")</f>
        <v>583364.44000000018</v>
      </c>
      <c r="O68" s="206"/>
      <c r="Q68" s="254"/>
      <c r="R68" s="207"/>
      <c r="S68" s="207"/>
      <c r="T68" s="207"/>
      <c r="U68" s="208"/>
      <c r="V68" s="208"/>
      <c r="W68" s="208"/>
    </row>
    <row r="69" spans="1:23" ht="29.25" customHeight="1">
      <c r="A69" s="502" t="s">
        <v>820</v>
      </c>
      <c r="B69" s="502"/>
      <c r="C69" s="502"/>
      <c r="D69" s="502"/>
      <c r="E69" s="503">
        <f>IFERROR(E68/N68,"O percentual será calculado após lançamento dos valores dos itens/serviços")</f>
        <v>0.49999999999999989</v>
      </c>
      <c r="F69" s="504"/>
      <c r="G69" s="504"/>
      <c r="H69" s="504"/>
      <c r="I69" s="505">
        <f>IFERROR(I68/N68,"O percentual será calculado após lançamento dos valores dos itens/serviços")</f>
        <v>0.5</v>
      </c>
      <c r="J69" s="506"/>
      <c r="K69" s="506"/>
      <c r="L69" s="506"/>
      <c r="M69" s="507"/>
      <c r="N69" s="255">
        <f>IFERROR(I69+E69,"")</f>
        <v>0.99999999999999989</v>
      </c>
      <c r="O69" s="206"/>
      <c r="Q69" s="254"/>
      <c r="R69" s="207"/>
      <c r="S69" s="207"/>
      <c r="T69" s="207"/>
      <c r="U69" s="208"/>
      <c r="V69" s="208"/>
      <c r="W69" s="208"/>
    </row>
    <row r="70" spans="1:23">
      <c r="A70" s="274"/>
      <c r="B70" s="215"/>
      <c r="C70" s="256"/>
      <c r="D70" s="256"/>
      <c r="E70" s="257"/>
      <c r="F70" s="257"/>
      <c r="G70" s="257"/>
      <c r="H70" s="257"/>
      <c r="I70" s="257"/>
      <c r="J70" s="257"/>
      <c r="K70" s="257"/>
      <c r="L70" s="257"/>
      <c r="M70" s="257"/>
      <c r="N70" s="276"/>
      <c r="O70" s="206"/>
      <c r="P70" s="258"/>
      <c r="Q70" s="254"/>
      <c r="R70" s="207"/>
      <c r="S70" s="207"/>
      <c r="T70" s="207"/>
      <c r="U70" s="208"/>
      <c r="V70" s="208"/>
      <c r="W70" s="208"/>
    </row>
    <row r="71" spans="1:23" s="259" customFormat="1">
      <c r="A71" s="274"/>
      <c r="B71" s="215"/>
      <c r="C71" s="508"/>
      <c r="D71" s="509"/>
      <c r="E71" s="509"/>
      <c r="F71" s="509"/>
      <c r="G71" s="509"/>
      <c r="H71" s="509"/>
      <c r="I71" s="509"/>
      <c r="J71" s="509"/>
      <c r="K71" s="509"/>
      <c r="L71" s="509"/>
      <c r="M71" s="509"/>
      <c r="N71" s="510"/>
      <c r="O71" s="215"/>
      <c r="P71" s="258"/>
      <c r="Q71" s="254"/>
      <c r="R71" s="207"/>
      <c r="S71" s="207"/>
      <c r="T71" s="207"/>
      <c r="U71" s="207"/>
      <c r="V71" s="207"/>
      <c r="W71" s="207"/>
    </row>
    <row r="72" spans="1:23" s="259" customFormat="1">
      <c r="A72" s="277"/>
      <c r="B72" s="260"/>
      <c r="C72" s="509"/>
      <c r="D72" s="509"/>
      <c r="E72" s="509"/>
      <c r="F72" s="509"/>
      <c r="G72" s="509"/>
      <c r="H72" s="509"/>
      <c r="I72" s="509"/>
      <c r="J72" s="509"/>
      <c r="K72" s="509"/>
      <c r="L72" s="509"/>
      <c r="M72" s="509"/>
      <c r="N72" s="510"/>
      <c r="O72" s="215"/>
      <c r="P72" s="258"/>
      <c r="Q72" s="254"/>
      <c r="R72" s="207"/>
      <c r="S72" s="207"/>
      <c r="T72" s="207"/>
      <c r="U72" s="207"/>
      <c r="V72" s="207"/>
      <c r="W72" s="207"/>
    </row>
    <row r="73" spans="1:23" s="259" customFormat="1">
      <c r="A73" s="278"/>
      <c r="B73" s="261"/>
      <c r="C73" s="509"/>
      <c r="D73" s="509"/>
      <c r="E73" s="509"/>
      <c r="F73" s="509"/>
      <c r="G73" s="509"/>
      <c r="H73" s="509"/>
      <c r="I73" s="509"/>
      <c r="J73" s="509"/>
      <c r="K73" s="509"/>
      <c r="L73" s="509"/>
      <c r="M73" s="509"/>
      <c r="N73" s="510"/>
      <c r="O73" s="215"/>
      <c r="P73" s="262"/>
      <c r="Q73" s="254"/>
      <c r="R73" s="207"/>
      <c r="S73" s="207"/>
      <c r="T73" s="207"/>
      <c r="U73" s="207"/>
      <c r="V73" s="207"/>
      <c r="W73" s="207"/>
    </row>
    <row r="74" spans="1:23" s="259" customFormat="1">
      <c r="A74" s="278"/>
      <c r="B74" s="261"/>
      <c r="C74" s="509"/>
      <c r="D74" s="509"/>
      <c r="E74" s="509"/>
      <c r="F74" s="509"/>
      <c r="G74" s="509"/>
      <c r="H74" s="509"/>
      <c r="I74" s="509"/>
      <c r="J74" s="509"/>
      <c r="K74" s="509"/>
      <c r="L74" s="509"/>
      <c r="M74" s="509"/>
      <c r="N74" s="510"/>
      <c r="O74" s="215"/>
      <c r="P74" s="258"/>
      <c r="Q74" s="263"/>
      <c r="R74" s="207"/>
      <c r="S74" s="207"/>
      <c r="T74" s="207"/>
      <c r="U74" s="207"/>
      <c r="V74" s="207"/>
      <c r="W74" s="207"/>
    </row>
    <row r="75" spans="1:23" s="259" customFormat="1">
      <c r="A75" s="278"/>
      <c r="B75" s="261"/>
      <c r="C75" s="509"/>
      <c r="D75" s="509"/>
      <c r="E75" s="509"/>
      <c r="F75" s="509"/>
      <c r="G75" s="509"/>
      <c r="H75" s="509"/>
      <c r="I75" s="509"/>
      <c r="J75" s="509"/>
      <c r="K75" s="509"/>
      <c r="L75" s="509"/>
      <c r="M75" s="509"/>
      <c r="N75" s="510"/>
      <c r="O75" s="215"/>
      <c r="P75" s="207"/>
      <c r="Q75" s="207"/>
      <c r="R75" s="207"/>
      <c r="S75" s="207"/>
      <c r="T75" s="207"/>
      <c r="U75" s="207"/>
      <c r="V75" s="207"/>
      <c r="W75" s="207"/>
    </row>
    <row r="76" spans="1:23" ht="30.75" customHeight="1">
      <c r="A76" s="278"/>
      <c r="B76" s="261"/>
      <c r="C76" s="334"/>
      <c r="D76" s="334"/>
      <c r="E76" s="334"/>
      <c r="F76" s="334"/>
      <c r="G76" s="334"/>
      <c r="H76" s="334"/>
      <c r="I76" s="334"/>
      <c r="J76" s="334"/>
      <c r="K76" s="334"/>
      <c r="L76" s="334"/>
      <c r="M76" s="334"/>
      <c r="N76" s="335"/>
      <c r="O76" s="206"/>
      <c r="P76" s="258"/>
      <c r="Q76" s="207"/>
      <c r="R76" s="207"/>
      <c r="S76" s="207"/>
      <c r="T76" s="207"/>
      <c r="U76" s="208"/>
      <c r="V76" s="208"/>
      <c r="W76" s="208"/>
    </row>
    <row r="77" spans="1:23" ht="12" customHeight="1">
      <c r="A77" s="278"/>
      <c r="B77" s="261"/>
      <c r="C77" s="334"/>
      <c r="D77" s="334"/>
      <c r="E77" s="334"/>
      <c r="F77" s="334"/>
      <c r="G77" s="334"/>
      <c r="H77" s="334"/>
      <c r="I77" s="334"/>
      <c r="J77" s="334"/>
      <c r="K77" s="334"/>
      <c r="L77" s="334"/>
      <c r="M77" s="334"/>
      <c r="N77" s="335"/>
      <c r="O77" s="206"/>
      <c r="P77" s="258"/>
      <c r="Q77" s="207"/>
      <c r="R77" s="207"/>
      <c r="S77" s="207"/>
      <c r="T77" s="207"/>
      <c r="U77" s="208"/>
      <c r="V77" s="208"/>
      <c r="W77" s="208"/>
    </row>
    <row r="78" spans="1:23" ht="13.5" customHeight="1">
      <c r="A78" s="278"/>
      <c r="B78" s="261"/>
      <c r="C78" s="334"/>
      <c r="D78" s="334"/>
      <c r="E78" s="334"/>
      <c r="F78" s="334"/>
      <c r="G78" s="334"/>
      <c r="H78" s="334"/>
      <c r="I78" s="334"/>
      <c r="J78" s="334"/>
      <c r="K78" s="334"/>
      <c r="L78" s="334"/>
      <c r="M78" s="334"/>
      <c r="N78" s="335"/>
      <c r="O78" s="206"/>
      <c r="P78" s="258"/>
      <c r="Q78" s="207"/>
      <c r="R78" s="207"/>
      <c r="S78" s="207"/>
      <c r="T78" s="207"/>
      <c r="U78" s="208"/>
      <c r="V78" s="208"/>
      <c r="W78" s="208"/>
    </row>
    <row r="79" spans="1:23" ht="21" customHeight="1">
      <c r="A79" s="278"/>
      <c r="B79" s="261"/>
      <c r="C79" s="334"/>
      <c r="D79" s="334"/>
      <c r="E79" s="334"/>
      <c r="F79" s="334"/>
      <c r="G79" s="334"/>
      <c r="H79" s="334"/>
      <c r="I79" s="334"/>
      <c r="J79" s="334"/>
      <c r="K79" s="334"/>
      <c r="L79" s="334"/>
      <c r="M79" s="334"/>
      <c r="N79" s="335"/>
      <c r="O79" s="206"/>
      <c r="P79" s="258"/>
      <c r="Q79" s="207"/>
      <c r="R79" s="207"/>
      <c r="S79" s="207"/>
      <c r="T79" s="207"/>
      <c r="U79" s="208"/>
      <c r="V79" s="208"/>
      <c r="W79" s="208"/>
    </row>
    <row r="80" spans="1:23" ht="46.5" customHeight="1" thickBot="1">
      <c r="A80" s="278"/>
      <c r="B80" s="261"/>
      <c r="C80" s="264"/>
      <c r="D80" s="264"/>
      <c r="E80" s="264"/>
      <c r="F80" s="334"/>
      <c r="G80" s="334"/>
      <c r="H80" s="334"/>
      <c r="I80" s="334"/>
      <c r="J80" s="334"/>
      <c r="K80" s="334"/>
      <c r="L80" s="334"/>
      <c r="M80" s="334"/>
      <c r="N80" s="335"/>
      <c r="O80" s="206"/>
      <c r="P80" s="258"/>
      <c r="Q80" s="207"/>
      <c r="R80" s="207"/>
      <c r="S80" s="207"/>
      <c r="T80" s="207"/>
      <c r="U80" s="208"/>
      <c r="V80" s="208"/>
      <c r="W80" s="208"/>
    </row>
    <row r="81" spans="1:23">
      <c r="A81" s="274"/>
      <c r="B81" s="215"/>
      <c r="C81" s="511" t="s">
        <v>832</v>
      </c>
      <c r="D81" s="511"/>
      <c r="E81" s="511"/>
      <c r="F81" s="265"/>
      <c r="G81" s="215"/>
      <c r="H81" s="215"/>
      <c r="I81" s="215"/>
      <c r="J81" s="215"/>
      <c r="K81" s="215"/>
      <c r="L81" s="215"/>
      <c r="M81" s="215"/>
      <c r="N81" s="279"/>
      <c r="O81" s="206"/>
      <c r="P81" s="207"/>
      <c r="Q81" s="207"/>
      <c r="R81" s="207"/>
      <c r="S81" s="207"/>
      <c r="T81" s="207"/>
      <c r="U81" s="208"/>
      <c r="V81" s="208"/>
      <c r="W81" s="208"/>
    </row>
    <row r="82" spans="1:23">
      <c r="A82" s="274"/>
      <c r="B82" s="215"/>
      <c r="C82" s="280" t="s">
        <v>833</v>
      </c>
      <c r="D82" s="512"/>
      <c r="E82" s="512"/>
      <c r="F82" s="266"/>
      <c r="G82" s="215"/>
      <c r="H82" s="215"/>
      <c r="I82" s="215"/>
      <c r="J82" s="215"/>
      <c r="K82" s="215"/>
      <c r="L82" s="215"/>
      <c r="M82" s="215"/>
      <c r="N82" s="273"/>
      <c r="O82" s="206"/>
      <c r="P82" s="258"/>
      <c r="Q82" s="207"/>
      <c r="R82" s="207"/>
      <c r="S82" s="207"/>
      <c r="T82" s="207"/>
      <c r="U82" s="208"/>
      <c r="V82" s="208"/>
      <c r="W82" s="208"/>
    </row>
    <row r="83" spans="1:23" s="249" customFormat="1">
      <c r="A83" s="281"/>
      <c r="B83" s="259"/>
      <c r="C83" s="280" t="s">
        <v>821</v>
      </c>
      <c r="D83" s="500"/>
      <c r="E83" s="500"/>
      <c r="F83" s="267"/>
      <c r="G83" s="259"/>
      <c r="H83" s="259"/>
      <c r="I83" s="259"/>
      <c r="J83" s="259"/>
      <c r="K83" s="259"/>
      <c r="L83" s="259"/>
      <c r="M83" s="259"/>
      <c r="N83" s="282"/>
      <c r="O83" s="209"/>
      <c r="P83" s="258"/>
      <c r="Q83" s="207"/>
      <c r="R83" s="207"/>
      <c r="S83" s="207"/>
      <c r="T83" s="207"/>
      <c r="U83" s="208"/>
    </row>
    <row r="84" spans="1:23" s="249" customFormat="1">
      <c r="A84" s="281"/>
      <c r="B84" s="259"/>
      <c r="C84" s="501" t="s">
        <v>834</v>
      </c>
      <c r="D84" s="501"/>
      <c r="E84" s="501"/>
      <c r="F84" s="259"/>
      <c r="G84" s="259"/>
      <c r="H84" s="259"/>
      <c r="I84" s="259"/>
      <c r="J84" s="259"/>
      <c r="K84" s="259"/>
      <c r="L84" s="259"/>
      <c r="M84" s="259"/>
      <c r="N84" s="282"/>
      <c r="O84" s="209"/>
      <c r="P84" s="258"/>
      <c r="Q84" s="207"/>
      <c r="R84" s="207"/>
      <c r="S84" s="207"/>
      <c r="T84" s="207"/>
      <c r="U84" s="208"/>
    </row>
    <row r="85" spans="1:23" s="249" customFormat="1">
      <c r="A85" s="283"/>
      <c r="B85" s="284"/>
      <c r="C85" s="284"/>
      <c r="D85" s="284"/>
      <c r="E85" s="284"/>
      <c r="F85" s="284"/>
      <c r="G85" s="284"/>
      <c r="H85" s="284"/>
      <c r="I85" s="284"/>
      <c r="J85" s="284"/>
      <c r="K85" s="284"/>
      <c r="L85" s="284"/>
      <c r="M85" s="284"/>
      <c r="N85" s="285"/>
      <c r="O85" s="209"/>
      <c r="P85" s="262"/>
      <c r="Q85" s="207"/>
      <c r="R85" s="207"/>
      <c r="S85" s="207"/>
      <c r="T85" s="207"/>
      <c r="U85" s="208"/>
    </row>
    <row r="86" spans="1:23" s="249" customFormat="1">
      <c r="A86" s="209"/>
      <c r="B86" s="209"/>
      <c r="C86" s="209"/>
      <c r="D86" s="209"/>
      <c r="E86" s="209"/>
      <c r="F86" s="209"/>
      <c r="G86" s="209"/>
      <c r="H86" s="209"/>
      <c r="I86" s="209"/>
      <c r="J86" s="209"/>
      <c r="K86" s="209"/>
      <c r="L86" s="209"/>
      <c r="M86" s="209"/>
      <c r="N86" s="209"/>
      <c r="O86" s="209"/>
      <c r="P86" s="258"/>
      <c r="Q86" s="262"/>
      <c r="R86" s="207"/>
      <c r="S86" s="207"/>
      <c r="T86" s="207"/>
      <c r="U86" s="208"/>
    </row>
    <row r="87" spans="1:23" s="249" customFormat="1">
      <c r="A87" s="209"/>
      <c r="B87" s="209"/>
      <c r="C87" s="209"/>
      <c r="D87" s="209"/>
      <c r="E87" s="209"/>
      <c r="F87" s="209"/>
      <c r="G87" s="209"/>
      <c r="H87" s="209"/>
      <c r="I87" s="209"/>
      <c r="J87" s="209"/>
      <c r="K87" s="209"/>
      <c r="L87" s="209"/>
      <c r="M87" s="209"/>
      <c r="N87" s="209"/>
      <c r="O87" s="209"/>
      <c r="P87" s="262"/>
      <c r="Q87" s="262"/>
      <c r="R87" s="207"/>
      <c r="S87" s="207"/>
      <c r="T87" s="207"/>
      <c r="U87" s="208"/>
    </row>
    <row r="88" spans="1:23" s="249" customFormat="1">
      <c r="A88" s="209"/>
      <c r="B88" s="209"/>
      <c r="C88" s="209"/>
      <c r="D88" s="209"/>
      <c r="E88" s="209"/>
      <c r="F88" s="209"/>
      <c r="G88" s="209"/>
      <c r="H88" s="209"/>
      <c r="I88" s="209"/>
      <c r="J88" s="209"/>
      <c r="K88" s="209"/>
      <c r="L88" s="209"/>
      <c r="M88" s="209"/>
      <c r="N88" s="209"/>
      <c r="O88" s="209"/>
      <c r="P88" s="258"/>
      <c r="Q88" s="262"/>
      <c r="R88" s="207"/>
      <c r="S88" s="207"/>
      <c r="T88" s="207"/>
      <c r="U88" s="208"/>
    </row>
    <row r="89" spans="1:23" s="249" customFormat="1">
      <c r="A89" s="209"/>
      <c r="B89" s="209"/>
      <c r="C89" s="209"/>
      <c r="D89" s="209"/>
      <c r="E89" s="259"/>
      <c r="F89" s="209"/>
      <c r="G89" s="209"/>
      <c r="H89" s="209"/>
      <c r="I89" s="209"/>
      <c r="J89" s="209"/>
      <c r="K89" s="209"/>
      <c r="L89" s="209"/>
      <c r="M89" s="209"/>
      <c r="N89" s="209"/>
      <c r="O89" s="209"/>
      <c r="P89" s="268"/>
      <c r="Q89" s="262"/>
      <c r="R89" s="207"/>
      <c r="S89" s="207"/>
      <c r="T89" s="207"/>
      <c r="U89" s="208"/>
    </row>
    <row r="90" spans="1:23" s="249" customFormat="1">
      <c r="A90" s="209"/>
      <c r="B90" s="209"/>
      <c r="C90" s="209"/>
      <c r="D90" s="209"/>
      <c r="E90" s="209"/>
      <c r="F90" s="209"/>
      <c r="G90" s="209"/>
      <c r="H90" s="209"/>
      <c r="I90" s="209"/>
      <c r="J90" s="209"/>
      <c r="K90" s="209"/>
      <c r="L90" s="209"/>
      <c r="M90" s="209"/>
      <c r="N90" s="209"/>
      <c r="O90" s="209"/>
      <c r="P90" s="258"/>
      <c r="Q90" s="268"/>
      <c r="R90" s="207"/>
      <c r="S90" s="207"/>
      <c r="T90" s="207"/>
      <c r="U90" s="208"/>
    </row>
    <row r="91" spans="1:23" s="249" customFormat="1">
      <c r="A91" s="209"/>
      <c r="B91" s="209"/>
      <c r="C91" s="209"/>
      <c r="D91" s="209"/>
      <c r="E91" s="209"/>
      <c r="F91" s="209"/>
      <c r="G91" s="209"/>
      <c r="H91" s="209"/>
      <c r="I91" s="209"/>
      <c r="J91" s="209"/>
      <c r="K91" s="209"/>
      <c r="L91" s="209"/>
      <c r="M91" s="209"/>
      <c r="N91" s="209"/>
      <c r="O91" s="209"/>
      <c r="P91" s="262"/>
      <c r="Q91" s="262"/>
      <c r="R91" s="207"/>
      <c r="S91" s="207"/>
      <c r="T91" s="207"/>
      <c r="U91" s="208"/>
    </row>
    <row r="92" spans="1:23" s="249" customFormat="1">
      <c r="A92" s="209"/>
      <c r="B92" s="209"/>
      <c r="C92" s="209"/>
      <c r="D92" s="209"/>
      <c r="E92" s="209"/>
      <c r="F92" s="209"/>
      <c r="G92" s="209"/>
      <c r="H92" s="209"/>
      <c r="I92" s="209"/>
      <c r="J92" s="209"/>
      <c r="K92" s="209"/>
      <c r="L92" s="209"/>
      <c r="M92" s="209"/>
      <c r="N92" s="209"/>
      <c r="O92" s="209"/>
      <c r="P92" s="258"/>
      <c r="Q92" s="262"/>
      <c r="R92" s="207"/>
      <c r="S92" s="207"/>
      <c r="T92" s="207"/>
      <c r="U92" s="208"/>
    </row>
  </sheetData>
  <sheetProtection formatCells="0" insertColumns="0" insertRows="0" deleteColumns="0" deleteRows="0" selectLockedCells="1"/>
  <mergeCells count="197">
    <mergeCell ref="A1:B4"/>
    <mergeCell ref="C1:N2"/>
    <mergeCell ref="K5:N5"/>
    <mergeCell ref="A6:B6"/>
    <mergeCell ref="C6:G6"/>
    <mergeCell ref="J6:L6"/>
    <mergeCell ref="A11:A16"/>
    <mergeCell ref="B11:C16"/>
    <mergeCell ref="D11:D16"/>
    <mergeCell ref="E11:H11"/>
    <mergeCell ref="I11:M11"/>
    <mergeCell ref="N11:N16"/>
    <mergeCell ref="I12:M12"/>
    <mergeCell ref="I13:J13"/>
    <mergeCell ref="A7:B7"/>
    <mergeCell ref="C7:G7"/>
    <mergeCell ref="J7:L7"/>
    <mergeCell ref="A8:B8"/>
    <mergeCell ref="C8:G8"/>
    <mergeCell ref="I8:I9"/>
    <mergeCell ref="J8:K8"/>
    <mergeCell ref="L8:N8"/>
    <mergeCell ref="A9:B9"/>
    <mergeCell ref="C9:G9"/>
    <mergeCell ref="L13:M13"/>
    <mergeCell ref="E14:F14"/>
    <mergeCell ref="I14:J14"/>
    <mergeCell ref="E15:F15"/>
    <mergeCell ref="I15:K15"/>
    <mergeCell ref="E16:F16"/>
    <mergeCell ref="I16:K16"/>
    <mergeCell ref="J9:K9"/>
    <mergeCell ref="L9:N9"/>
    <mergeCell ref="A19:A20"/>
    <mergeCell ref="B19:C20"/>
    <mergeCell ref="F19:H19"/>
    <mergeCell ref="K19:M19"/>
    <mergeCell ref="E20:H20"/>
    <mergeCell ref="I20:M20"/>
    <mergeCell ref="A17:A18"/>
    <mergeCell ref="B17:C18"/>
    <mergeCell ref="F17:H17"/>
    <mergeCell ref="K17:M17"/>
    <mergeCell ref="E18:H18"/>
    <mergeCell ref="I18:M18"/>
    <mergeCell ref="A23:A24"/>
    <mergeCell ref="B23:C24"/>
    <mergeCell ref="F23:H23"/>
    <mergeCell ref="K23:M23"/>
    <mergeCell ref="E24:H24"/>
    <mergeCell ref="I24:M24"/>
    <mergeCell ref="A21:A22"/>
    <mergeCell ref="B21:C22"/>
    <mergeCell ref="F21:H21"/>
    <mergeCell ref="K21:M21"/>
    <mergeCell ref="E22:H22"/>
    <mergeCell ref="I22:M22"/>
    <mergeCell ref="A27:A28"/>
    <mergeCell ref="B27:C28"/>
    <mergeCell ref="F27:H27"/>
    <mergeCell ref="K27:M27"/>
    <mergeCell ref="E28:H28"/>
    <mergeCell ref="I28:M28"/>
    <mergeCell ref="A25:A26"/>
    <mergeCell ref="B25:C26"/>
    <mergeCell ref="F25:H25"/>
    <mergeCell ref="K25:M25"/>
    <mergeCell ref="E26:H26"/>
    <mergeCell ref="I26:M26"/>
    <mergeCell ref="A31:A32"/>
    <mergeCell ref="B31:C32"/>
    <mergeCell ref="F31:H31"/>
    <mergeCell ref="K31:M31"/>
    <mergeCell ref="E32:H32"/>
    <mergeCell ref="I32:M32"/>
    <mergeCell ref="A29:A30"/>
    <mergeCell ref="B29:C30"/>
    <mergeCell ref="F29:H29"/>
    <mergeCell ref="K29:M29"/>
    <mergeCell ref="E30:H30"/>
    <mergeCell ref="I30:M30"/>
    <mergeCell ref="A35:A36"/>
    <mergeCell ref="B35:C36"/>
    <mergeCell ref="F35:H35"/>
    <mergeCell ref="K35:M35"/>
    <mergeCell ref="E36:H36"/>
    <mergeCell ref="I36:M36"/>
    <mergeCell ref="A33:A34"/>
    <mergeCell ref="B33:C34"/>
    <mergeCell ref="F33:H33"/>
    <mergeCell ref="K33:M33"/>
    <mergeCell ref="E34:H34"/>
    <mergeCell ref="I34:M34"/>
    <mergeCell ref="A39:A40"/>
    <mergeCell ref="B39:C40"/>
    <mergeCell ref="F39:H39"/>
    <mergeCell ref="K39:M39"/>
    <mergeCell ref="E40:H40"/>
    <mergeCell ref="I40:M40"/>
    <mergeCell ref="A37:A38"/>
    <mergeCell ref="B37:C38"/>
    <mergeCell ref="F37:H37"/>
    <mergeCell ref="K37:M37"/>
    <mergeCell ref="E38:H38"/>
    <mergeCell ref="I38:M38"/>
    <mergeCell ref="E52:H52"/>
    <mergeCell ref="I52:M52"/>
    <mergeCell ref="A43:A44"/>
    <mergeCell ref="B43:C44"/>
    <mergeCell ref="F43:H43"/>
    <mergeCell ref="K43:M43"/>
    <mergeCell ref="E44:H44"/>
    <mergeCell ref="I44:M44"/>
    <mergeCell ref="A41:A42"/>
    <mergeCell ref="B41:C42"/>
    <mergeCell ref="F41:H41"/>
    <mergeCell ref="K41:M41"/>
    <mergeCell ref="E42:H42"/>
    <mergeCell ref="I42:M42"/>
    <mergeCell ref="D83:E83"/>
    <mergeCell ref="C84:E84"/>
    <mergeCell ref="F47:H47"/>
    <mergeCell ref="K47:M47"/>
    <mergeCell ref="I48:M48"/>
    <mergeCell ref="E48:H48"/>
    <mergeCell ref="A69:D69"/>
    <mergeCell ref="E69:H69"/>
    <mergeCell ref="I69:M69"/>
    <mergeCell ref="C71:N75"/>
    <mergeCell ref="C81:E81"/>
    <mergeCell ref="D82:E82"/>
    <mergeCell ref="A67:D67"/>
    <mergeCell ref="E67:H67"/>
    <mergeCell ref="I67:M67"/>
    <mergeCell ref="A68:D68"/>
    <mergeCell ref="E68:H68"/>
    <mergeCell ref="I68:M68"/>
    <mergeCell ref="A65:D65"/>
    <mergeCell ref="E65:H65"/>
    <mergeCell ref="I65:M65"/>
    <mergeCell ref="A66:D66"/>
    <mergeCell ref="E66:H66"/>
    <mergeCell ref="I66:M66"/>
    <mergeCell ref="A53:A54"/>
    <mergeCell ref="F53:H53"/>
    <mergeCell ref="E54:H54"/>
    <mergeCell ref="I54:M54"/>
    <mergeCell ref="B55:C56"/>
    <mergeCell ref="A55:A56"/>
    <mergeCell ref="B45:C46"/>
    <mergeCell ref="B47:C48"/>
    <mergeCell ref="B49:C50"/>
    <mergeCell ref="A45:A46"/>
    <mergeCell ref="A47:A48"/>
    <mergeCell ref="F49:H49"/>
    <mergeCell ref="K49:M49"/>
    <mergeCell ref="E50:H50"/>
    <mergeCell ref="I50:M50"/>
    <mergeCell ref="A49:A50"/>
    <mergeCell ref="E46:H46"/>
    <mergeCell ref="I46:M46"/>
    <mergeCell ref="F45:H45"/>
    <mergeCell ref="K45:M45"/>
    <mergeCell ref="A51:A52"/>
    <mergeCell ref="B51:C52"/>
    <mergeCell ref="F51:H51"/>
    <mergeCell ref="K51:M51"/>
    <mergeCell ref="K53:M53"/>
    <mergeCell ref="K55:M55"/>
    <mergeCell ref="K57:M57"/>
    <mergeCell ref="F57:H57"/>
    <mergeCell ref="F55:H55"/>
    <mergeCell ref="E56:H56"/>
    <mergeCell ref="I56:M56"/>
    <mergeCell ref="E58:H58"/>
    <mergeCell ref="B53:C54"/>
    <mergeCell ref="I58:M58"/>
    <mergeCell ref="A59:A60"/>
    <mergeCell ref="B59:C60"/>
    <mergeCell ref="F59:H59"/>
    <mergeCell ref="K59:M59"/>
    <mergeCell ref="E60:H60"/>
    <mergeCell ref="I60:M60"/>
    <mergeCell ref="B57:C58"/>
    <mergeCell ref="A57:A58"/>
    <mergeCell ref="A63:A64"/>
    <mergeCell ref="B63:C64"/>
    <mergeCell ref="F63:H63"/>
    <mergeCell ref="K63:M63"/>
    <mergeCell ref="E64:H64"/>
    <mergeCell ref="I64:M64"/>
    <mergeCell ref="A61:A62"/>
    <mergeCell ref="B61:C62"/>
    <mergeCell ref="F61:H61"/>
    <mergeCell ref="K61:M61"/>
    <mergeCell ref="E62:H62"/>
    <mergeCell ref="I62:M62"/>
  </mergeCells>
  <conditionalFormatting sqref="L9:N9">
    <cfRule type="cellIs" dxfId="11" priority="46" operator="equal">
      <formula>"Cálculo automático"</formula>
    </cfRule>
  </conditionalFormatting>
  <conditionalFormatting sqref="N18 N20 N22 N24 N26 N28 N30 N32 N34 N36 N38 N40 N42 N44:N50 N52:N64">
    <cfRule type="cellIs" dxfId="10" priority="45" operator="equal">
      <formula>"Lançar valor para as duas etapas, mesmo que ZERO"</formula>
    </cfRule>
  </conditionalFormatting>
  <conditionalFormatting sqref="E46:M46 E17:F17 I17:K17 E22:M22 E24:M24 E26:M26 E28:M28 E30:M30 E32:M32 E34:M34 E36:M36 E38:M38 E40:M40 E42:M42 E18:M18 E20:M20 E45:E46 I45:I46 E44:M44 E19:F19 I19:K19 E21:F21 I21:K21 E23:F23 I23:K23 E25:F25 I25:K25 E27:F27 I27:K27 E29:F29 I29:K29 E31:F31 I31:K31 E33:F33 I33:K33 E35:F35 I35:K35 E37:F37 I37:K37 E39:F39 I39:K39 E41:F41 I41:K41 E43:F43 I43:K43 E51:F51 I51:K51 J48:M49 E45:F45 E47:F47 I45:K45 I47:K47 E48:E50 F48:H49 I48:I50 F52:H53 J52:K53 L52:M52 E53:F53 I53:K53 E54:M54 E55:K55 E56:M56 E52:E64 I52:I64 E57:K57 E58:M64">
    <cfRule type="cellIs" dxfId="9" priority="44" operator="equal">
      <formula>0</formula>
    </cfRule>
  </conditionalFormatting>
  <conditionalFormatting sqref="G15 L14">
    <cfRule type="cellIs" dxfId="8" priority="14" operator="equal">
      <formula>"XXX"</formula>
    </cfRule>
  </conditionalFormatting>
  <conditionalFormatting sqref="E17:E64 F51:H53 F17:H49 I17:I64 J17:M49 J51:K53 L51:M52 E53:M64">
    <cfRule type="cellIs" dxfId="7" priority="12" operator="equal">
      <formula>"Lançar o valor mesmo que ZERO"</formula>
    </cfRule>
  </conditionalFormatting>
  <conditionalFormatting sqref="J7:L7">
    <cfRule type="cellIs" dxfId="6" priority="11" operator="equal">
      <formula>"Inserir n.º do boletim e se com ou sem desoneração"</formula>
    </cfRule>
  </conditionalFormatting>
  <conditionalFormatting sqref="N7">
    <cfRule type="cellIs" dxfId="5" priority="10" operator="equal">
      <formula>"Inserir data base do orçamento proposto"</formula>
    </cfRule>
  </conditionalFormatting>
  <conditionalFormatting sqref="C6:G6">
    <cfRule type="cellIs" dxfId="4" priority="9" operator="equal">
      <formula>"Nome do Municipio"</formula>
    </cfRule>
  </conditionalFormatting>
  <conditionalFormatting sqref="C7:G7">
    <cfRule type="cellIs" dxfId="3" priority="8" operator="equal">
      <formula>"Nome do Objeto aprovado no COC"</formula>
    </cfRule>
  </conditionalFormatting>
  <conditionalFormatting sqref="C8:G8">
    <cfRule type="cellIs" dxfId="2" priority="7" operator="equal">
      <formula>"N.º do processo da Secretaria de Turismo"</formula>
    </cfRule>
  </conditionalFormatting>
  <conditionalFormatting sqref="E67:M67">
    <cfRule type="cellIs" dxfId="1" priority="6" operator="equal">
      <formula>"Lançar o valor da contrapartida, mesmo que ZERO"</formula>
    </cfRule>
  </conditionalFormatting>
  <conditionalFormatting sqref="B17 C19:C44 B19:B45 B47 C51:C52 B51:B53">
    <cfRule type="cellIs" dxfId="0" priority="5" operator="equal">
      <formula>"Descrição do Item"</formula>
    </cfRule>
  </conditionalFormatting>
  <pageMargins left="0.70866141732283472" right="0.70866141732283472" top="0.94488188976377963" bottom="0.94488188976377963" header="0.31496062992125984" footer="0.31496062992125984"/>
  <pageSetup paperSize="9" scale="37" orientation="portrait" r:id="rId1"/>
  <rowBreaks count="1" manualBreakCount="1">
    <brk id="18" max="13" man="1"/>
  </rowBreaks>
  <colBreaks count="1" manualBreakCount="1">
    <brk id="1" max="8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21</vt:i4>
      </vt:variant>
    </vt:vector>
  </HeadingPairs>
  <TitlesOfParts>
    <vt:vector size="25" baseType="lpstr">
      <vt:lpstr>Orçamento</vt:lpstr>
      <vt:lpstr>MEMORIA DE CALCULO</vt:lpstr>
      <vt:lpstr>CRONOGRAMA FÍSICOFINANCEIRO DEF</vt:lpstr>
      <vt:lpstr>CRONOG DE DESEMBOLSO 2 Eta OK</vt:lpstr>
      <vt:lpstr>'CRONOG DE DESEMBOLSO 2 Eta OK'!Area_de_impressao</vt:lpstr>
      <vt:lpstr>'CRONOGRAMA FÍSICOFINANCEIRO DEF'!Area_de_impressao</vt:lpstr>
      <vt:lpstr>'MEMORIA DE CALCULO'!Area_de_impressao</vt:lpstr>
      <vt:lpstr>Orçamento!Area_de_impressao</vt:lpstr>
      <vt:lpstr>'CRONOGRAMA FÍSICOFINANCEIRO DEF'!Print_Titles_0</vt:lpstr>
      <vt:lpstr>'CRONOGRAMA FÍSICOFINANCEIRO DEF'!Print_Titles_0_0</vt:lpstr>
      <vt:lpstr>'CRONOGRAMA FÍSICOFINANCEIRO DEF'!Print_Titles_0_0_0</vt:lpstr>
      <vt:lpstr>'CRONOGRAMA FÍSICOFINANCEIRO DEF'!Print_Titles_0_0_0_0</vt:lpstr>
      <vt:lpstr>'CRONOGRAMA FÍSICOFINANCEIRO DEF'!Print_Titles_0_0_0_0_0</vt:lpstr>
      <vt:lpstr>'CRONOGRAMA FÍSICOFINANCEIRO DEF'!Print_Titles_0_0_0_0_0_0</vt:lpstr>
      <vt:lpstr>'CRONOGRAMA FÍSICOFINANCEIRO DEF'!Print_Titles_0_0_0_0_0_0_0</vt:lpstr>
      <vt:lpstr>'CRONOGRAMA FÍSICOFINANCEIRO DEF'!Print_Titles_0_0_0_0_0_0_0_0</vt:lpstr>
      <vt:lpstr>'CRONOGRAMA FÍSICOFINANCEIRO DEF'!Print_Titles_0_0_0_0_0_0_0_0_0</vt:lpstr>
      <vt:lpstr>'CRONOGRAMA FÍSICOFINANCEIRO DEF'!Print_Titles_0_0_0_0_0_0_0_0_0_0</vt:lpstr>
      <vt:lpstr>'CRONOGRAMA FÍSICOFINANCEIRO DEF'!Print_Titles_0_0_0_0_0_0_0_0_0_0_0</vt:lpstr>
      <vt:lpstr>'CRONOGRAMA FÍSICOFINANCEIRO DEF'!Print_Titles_0_0_0_0_0_0_0_0_0_0_0_0</vt:lpstr>
      <vt:lpstr>'CRONOGRAMA FÍSICOFINANCEIRO DEF'!Print_Titles_0_0_0_0_0_0_0_0_0_0_0_0_0</vt:lpstr>
      <vt:lpstr>'CRONOGRAMA FÍSICOFINANCEIRO DEF'!Print_Titles_0_0_0_0_0_0_0_0_0_0_0_0_0_0</vt:lpstr>
      <vt:lpstr>'CRONOGRAMA FÍSICOFINANCEIRO DEF'!Titulos_de_impressao</vt:lpstr>
      <vt:lpstr>'MEMORIA DE CALCULO'!Titulos_de_impressao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2022-04-06T18:46:14Z</cp:lastPrinted>
  <dcterms:created xsi:type="dcterms:W3CDTF">2017-08-30T19:42:29Z</dcterms:created>
  <dcterms:modified xsi:type="dcterms:W3CDTF">2022-04-07T19:27:16Z</dcterms:modified>
</cp:coreProperties>
</file>