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20490" windowHeight="7620" activeTab="3"/>
  </bookViews>
  <sheets>
    <sheet name="ORÇAMENTO" sheetId="1" r:id="rId1"/>
    <sheet name="MEMORIAL DE CÁLCULO" sheetId="2" r:id="rId2"/>
    <sheet name="CRONOGRAMA FÍSICOFINANCEIRO DEF" sheetId="4" r:id="rId3"/>
    <sheet name="CRONOG DE DESEMB 1 Etapa" sheetId="8" r:id="rId4"/>
  </sheets>
  <definedNames>
    <definedName name="_xlnm.Print_Area" localSheetId="3">'CRONOG DE DESEMB 1 Etapa'!$A$1:$J$74</definedName>
    <definedName name="_xlnm.Print_Area" localSheetId="2">'CRONOGRAMA FÍSICOFINANCEIRO DEF'!$A$1:$N$57</definedName>
    <definedName name="_xlnm.Print_Area" localSheetId="1">'MEMORIAL DE CÁLCULO'!$A$1:$H$202</definedName>
    <definedName name="_xlnm.Print_Area" localSheetId="0">ORÇAMENTO!$A$1:$H$203</definedName>
    <definedName name="Print_Titles_0" localSheetId="2">'CRONOGRAMA FÍSICOFINANCEIRO DEF'!$1:$15</definedName>
    <definedName name="Print_Titles_0_0" localSheetId="2">'CRONOGRAMA FÍSICOFINANCEIRO DEF'!$1:$15</definedName>
    <definedName name="Print_Titles_0_0_0" localSheetId="2">'CRONOGRAMA FÍSICOFINANCEIRO DEF'!$1:$15</definedName>
    <definedName name="Print_Titles_0_0_0_0" localSheetId="2">'CRONOGRAMA FÍSICOFINANCEIRO DEF'!$1:$15</definedName>
    <definedName name="Print_Titles_0_0_0_0_0" localSheetId="2">'CRONOGRAMA FÍSICOFINANCEIRO DEF'!$1:$15</definedName>
    <definedName name="Print_Titles_0_0_0_0_0_0" localSheetId="2">'CRONOGRAMA FÍSICOFINANCEIRO DEF'!$1:$15</definedName>
    <definedName name="Print_Titles_0_0_0_0_0_0_0" localSheetId="2">'CRONOGRAMA FÍSICOFINANCEIRO DEF'!$1:$15</definedName>
    <definedName name="Print_Titles_0_0_0_0_0_0_0_0" localSheetId="2">'CRONOGRAMA FÍSICOFINANCEIRO DEF'!$1:$15</definedName>
    <definedName name="Print_Titles_0_0_0_0_0_0_0_0_0" localSheetId="2">'CRONOGRAMA FÍSICOFINANCEIRO DEF'!$1:$15</definedName>
    <definedName name="Print_Titles_0_0_0_0_0_0_0_0_0_0" localSheetId="2">'CRONOGRAMA FÍSICOFINANCEIRO DEF'!$1:$15</definedName>
    <definedName name="Print_Titles_0_0_0_0_0_0_0_0_0_0_0" localSheetId="2">'CRONOGRAMA FÍSICOFINANCEIRO DEF'!$1:$15</definedName>
    <definedName name="Print_Titles_0_0_0_0_0_0_0_0_0_0_0_0" localSheetId="2">'CRONOGRAMA FÍSICOFINANCEIRO DEF'!$1:$15</definedName>
    <definedName name="Print_Titles_0_0_0_0_0_0_0_0_0_0_0_0_0" localSheetId="2">'CRONOGRAMA FÍSICOFINANCEIRO DEF'!$1:$15</definedName>
    <definedName name="Print_Titles_0_0_0_0_0_0_0_0_0_0_0_0_0_0" localSheetId="2">'CRONOGRAMA FÍSICOFINANCEIRO DEF'!$1:$15</definedName>
    <definedName name="_xlnm.Print_Titles" localSheetId="2">'CRONOGRAMA FÍSICOFINANCEIRO DEF'!$1:$15</definedName>
    <definedName name="_xlnm.Print_Titles" localSheetId="1">'MEMORIAL DE CÁLCULO'!$1:$15</definedName>
    <definedName name="_xlnm.Print_Titles" localSheetId="0">ORÇAMENTO!$1:$15</definedName>
  </definedName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1" i="4"/>
  <c r="M53" s="1"/>
  <c r="F21"/>
  <c r="F53" s="1"/>
  <c r="D53"/>
  <c r="G49"/>
  <c r="L39"/>
  <c r="L53" s="1"/>
  <c r="K41"/>
  <c r="K31"/>
  <c r="J31"/>
  <c r="I27"/>
  <c r="H27"/>
  <c r="H25"/>
  <c r="G23"/>
  <c r="E19" l="1"/>
  <c r="E53" s="1"/>
  <c r="E57" i="8" l="1"/>
  <c r="E55" s="1"/>
  <c r="J55" s="1"/>
  <c r="J56"/>
  <c r="J53"/>
  <c r="F52" s="1"/>
  <c r="J52" s="1"/>
  <c r="J51"/>
  <c r="F50"/>
  <c r="J50" s="1"/>
  <c r="J49"/>
  <c r="F48"/>
  <c r="J48" s="1"/>
  <c r="J47"/>
  <c r="F46"/>
  <c r="J46" s="1"/>
  <c r="J45"/>
  <c r="F44" s="1"/>
  <c r="J44" s="1"/>
  <c r="J43"/>
  <c r="F42"/>
  <c r="J42" s="1"/>
  <c r="J41"/>
  <c r="F40" s="1"/>
  <c r="J40" s="1"/>
  <c r="J39"/>
  <c r="F38" s="1"/>
  <c r="J38" s="1"/>
  <c r="J37"/>
  <c r="F36"/>
  <c r="J36" s="1"/>
  <c r="J35"/>
  <c r="F34" s="1"/>
  <c r="J34" s="1"/>
  <c r="J33"/>
  <c r="F32"/>
  <c r="J32" s="1"/>
  <c r="J31"/>
  <c r="F30" s="1"/>
  <c r="J30" s="1"/>
  <c r="J29"/>
  <c r="F28" s="1"/>
  <c r="J28" s="1"/>
  <c r="J27"/>
  <c r="F26" s="1"/>
  <c r="J26" s="1"/>
  <c r="J25"/>
  <c r="F24" s="1"/>
  <c r="J24" s="1"/>
  <c r="J23"/>
  <c r="F22" s="1"/>
  <c r="J22" s="1"/>
  <c r="J21"/>
  <c r="F20"/>
  <c r="J20" s="1"/>
  <c r="J19"/>
  <c r="F18" s="1"/>
  <c r="J18" s="1"/>
  <c r="G13"/>
  <c r="H9" s="1"/>
  <c r="J57" l="1"/>
  <c r="E58" s="1"/>
  <c r="J58" s="1"/>
  <c r="K45" i="4"/>
  <c r="F63" i="1"/>
  <c r="F183" i="2" l="1"/>
  <c r="F177"/>
  <c r="F161"/>
  <c r="F155"/>
  <c r="F154"/>
  <c r="F152"/>
  <c r="F149"/>
  <c r="F148"/>
  <c r="F147"/>
  <c r="F128"/>
  <c r="F126"/>
  <c r="F122"/>
  <c r="F118"/>
  <c r="F121" s="1"/>
  <c r="F106"/>
  <c r="F102"/>
  <c r="F64"/>
  <c r="F63"/>
  <c r="F62"/>
  <c r="F61"/>
  <c r="F60"/>
  <c r="F57"/>
  <c r="F55"/>
  <c r="F52"/>
  <c r="F54" s="1"/>
  <c r="F49"/>
  <c r="F48"/>
  <c r="F47"/>
  <c r="F46"/>
  <c r="F45"/>
  <c r="F44"/>
  <c r="F42"/>
  <c r="F43" s="1"/>
  <c r="F41"/>
  <c r="F38"/>
  <c r="F37"/>
  <c r="F36"/>
  <c r="F34"/>
  <c r="F33"/>
  <c r="F32"/>
  <c r="F31"/>
  <c r="F30"/>
  <c r="F29"/>
  <c r="F28"/>
  <c r="F27"/>
  <c r="F26"/>
  <c r="F149" i="1"/>
  <c r="F183"/>
  <c r="F114" i="2"/>
  <c r="F114" i="1"/>
  <c r="F109" i="2"/>
  <c r="F109" i="1"/>
  <c r="F102"/>
  <c r="F62"/>
  <c r="F47"/>
  <c r="F45"/>
  <c r="F44"/>
  <c r="F42"/>
  <c r="F41"/>
  <c r="F120" i="2" l="1"/>
  <c r="F56"/>
  <c r="F53"/>
  <c r="F128" i="1"/>
  <c r="K53" i="4" l="1"/>
  <c r="I53"/>
  <c r="H53"/>
  <c r="G53"/>
  <c r="N49"/>
  <c r="G48" s="1"/>
  <c r="N51"/>
  <c r="M50" s="1"/>
  <c r="N43"/>
  <c r="M42" s="1"/>
  <c r="N41"/>
  <c r="N39"/>
  <c r="L38" s="1"/>
  <c r="N37"/>
  <c r="N35"/>
  <c r="G34" s="1"/>
  <c r="N33"/>
  <c r="F32" s="1"/>
  <c r="N31"/>
  <c r="N29"/>
  <c r="J28" s="1"/>
  <c r="N27"/>
  <c r="N25"/>
  <c r="H24" s="1"/>
  <c r="N23"/>
  <c r="G22" s="1"/>
  <c r="N21"/>
  <c r="F20" s="1"/>
  <c r="N19"/>
  <c r="N17"/>
  <c r="N47"/>
  <c r="M46" s="1"/>
  <c r="J45"/>
  <c r="J53" s="1"/>
  <c r="F26" i="1"/>
  <c r="F98" i="2"/>
  <c r="F94"/>
  <c r="F93"/>
  <c r="F86"/>
  <c r="F85"/>
  <c r="F83"/>
  <c r="F82"/>
  <c r="F81"/>
  <c r="F104" s="1"/>
  <c r="F73"/>
  <c r="F72"/>
  <c r="F70"/>
  <c r="F69"/>
  <c r="F68"/>
  <c r="F67"/>
  <c r="F71"/>
  <c r="F23"/>
  <c r="F22"/>
  <c r="F19"/>
  <c r="F20" s="1"/>
  <c r="F18"/>
  <c r="F49" i="1"/>
  <c r="F48"/>
  <c r="F46"/>
  <c r="L40" i="4" l="1"/>
  <c r="F40"/>
  <c r="E40"/>
  <c r="K40"/>
  <c r="I26"/>
  <c r="H26"/>
  <c r="K30"/>
  <c r="J30"/>
  <c r="N45"/>
  <c r="H36"/>
  <c r="G36"/>
  <c r="F80" i="2"/>
  <c r="N53" i="4"/>
  <c r="L52" s="1"/>
  <c r="M52" l="1"/>
  <c r="F90" i="2"/>
  <c r="F89"/>
  <c r="F161" i="1" l="1"/>
  <c r="F152"/>
  <c r="F154"/>
  <c r="F155"/>
  <c r="F148"/>
  <c r="F147"/>
  <c r="F126"/>
  <c r="F118"/>
  <c r="F121" s="1"/>
  <c r="F122"/>
  <c r="F106"/>
  <c r="F77" i="2"/>
  <c r="F105" s="1"/>
  <c r="F76"/>
  <c r="F98" i="1"/>
  <c r="F94"/>
  <c r="F93"/>
  <c r="F90"/>
  <c r="F89"/>
  <c r="F86"/>
  <c r="F85"/>
  <c r="F83"/>
  <c r="F81"/>
  <c r="F104" s="1"/>
  <c r="F82"/>
  <c r="F77"/>
  <c r="F76"/>
  <c r="F18"/>
  <c r="F19"/>
  <c r="F20" s="1"/>
  <c r="F22"/>
  <c r="F23"/>
  <c r="F120" l="1"/>
  <c r="F80"/>
  <c r="F73"/>
  <c r="F36"/>
  <c r="F29"/>
  <c r="F28"/>
  <c r="F72"/>
  <c r="F31"/>
  <c r="F71" s="1"/>
  <c r="F70"/>
  <c r="F105" s="1"/>
  <c r="F69"/>
  <c r="F68"/>
  <c r="F67"/>
  <c r="F64"/>
  <c r="F61"/>
  <c r="F60"/>
  <c r="F57"/>
  <c r="F55"/>
  <c r="F52"/>
  <c r="F38"/>
  <c r="F37"/>
  <c r="F34"/>
  <c r="F33"/>
  <c r="F32"/>
  <c r="F30"/>
  <c r="F177" l="1"/>
  <c r="F53" l="1"/>
  <c r="F43" l="1"/>
  <c r="F54"/>
  <c r="K44" i="4" l="1"/>
  <c r="D16"/>
  <c r="I44" l="1"/>
  <c r="J44"/>
  <c r="E18" l="1"/>
  <c r="E52"/>
  <c r="D52"/>
  <c r="N16"/>
  <c r="N26"/>
  <c r="N46"/>
  <c r="N36"/>
  <c r="N32"/>
  <c r="N40"/>
  <c r="N44"/>
  <c r="N42"/>
  <c r="N18"/>
  <c r="N34"/>
  <c r="N38"/>
  <c r="N30"/>
  <c r="N24"/>
  <c r="N48"/>
  <c r="N50"/>
  <c r="N20"/>
  <c r="N22"/>
  <c r="N28"/>
  <c r="J52"/>
  <c r="I52"/>
  <c r="H52"/>
  <c r="G52"/>
  <c r="F52"/>
  <c r="K52"/>
  <c r="N52" l="1"/>
  <c r="F27" i="1" l="1"/>
  <c r="F188" s="1"/>
  <c r="F56" l="1"/>
</calcChain>
</file>

<file path=xl/sharedStrings.xml><?xml version="1.0" encoding="utf-8"?>
<sst xmlns="http://schemas.openxmlformats.org/spreadsheetml/2006/main" count="1778" uniqueCount="711">
  <si>
    <t>Ítem</t>
  </si>
  <si>
    <t>Base Serviços</t>
  </si>
  <si>
    <t>Códigos Serviços</t>
  </si>
  <si>
    <t>Descrição dos Serviços</t>
  </si>
  <si>
    <t>Unidade</t>
  </si>
  <si>
    <t>Quant.</t>
  </si>
  <si>
    <t>Preço Unitário R$</t>
  </si>
  <si>
    <t>Valor total R$</t>
  </si>
  <si>
    <t>Planilha Orçamentária</t>
  </si>
  <si>
    <t>1.1</t>
  </si>
  <si>
    <t>Serviços Preliminares</t>
  </si>
  <si>
    <t>2.1</t>
  </si>
  <si>
    <t>3.1</t>
  </si>
  <si>
    <t>4.1</t>
  </si>
  <si>
    <t>4.2</t>
  </si>
  <si>
    <t>4.3</t>
  </si>
  <si>
    <t>Cobertura</t>
  </si>
  <si>
    <t>5.1</t>
  </si>
  <si>
    <t>5.2</t>
  </si>
  <si>
    <t>5.3</t>
  </si>
  <si>
    <t>6.1</t>
  </si>
  <si>
    <t>6.2</t>
  </si>
  <si>
    <t>7.1</t>
  </si>
  <si>
    <t>7.2</t>
  </si>
  <si>
    <t>8.1</t>
  </si>
  <si>
    <t>9.1</t>
  </si>
  <si>
    <t>10.2</t>
  </si>
  <si>
    <t>11.1</t>
  </si>
  <si>
    <t>11.2</t>
  </si>
  <si>
    <t>12.1</t>
  </si>
  <si>
    <t>Total</t>
  </si>
  <si>
    <t>BDI (%)</t>
  </si>
  <si>
    <t>Total Geral dos Serviços</t>
  </si>
  <si>
    <t>Pintura</t>
  </si>
  <si>
    <t>Limpeza</t>
  </si>
  <si>
    <t>Superestrutura</t>
  </si>
  <si>
    <t>8.2</t>
  </si>
  <si>
    <t>8.3</t>
  </si>
  <si>
    <t>8.4</t>
  </si>
  <si>
    <t>8.5</t>
  </si>
  <si>
    <t>m²</t>
  </si>
  <si>
    <t>m³</t>
  </si>
  <si>
    <t>4.4</t>
  </si>
  <si>
    <t>m</t>
  </si>
  <si>
    <t>4.5</t>
  </si>
  <si>
    <t>Resp. Téc.: Arq. Dênis Mendes de Moraes</t>
  </si>
  <si>
    <t>CAU Nº.: A96375-5</t>
  </si>
  <si>
    <t>11.16.020</t>
  </si>
  <si>
    <t>06.02.020</t>
  </si>
  <si>
    <t>11.3</t>
  </si>
  <si>
    <t>11.4</t>
  </si>
  <si>
    <t>Subtotal item 1</t>
  </si>
  <si>
    <t>Subtotal item 2</t>
  </si>
  <si>
    <t>Subtotal item 3</t>
  </si>
  <si>
    <t>Subtotal item 4</t>
  </si>
  <si>
    <t>Subtotal item 5</t>
  </si>
  <si>
    <t>Subtotal item 6</t>
  </si>
  <si>
    <t>Subtotal item 7</t>
  </si>
  <si>
    <t>Subtotal item 8</t>
  </si>
  <si>
    <t>Subtotal item 9</t>
  </si>
  <si>
    <t>Subtotal item 10</t>
  </si>
  <si>
    <t>Subtotal item 11</t>
  </si>
  <si>
    <t>Subtotal item 12</t>
  </si>
  <si>
    <t>Estado de São Paulo</t>
  </si>
  <si>
    <t>Prefeitura Municipal da Estância Turística de Paraguaçu Paulista</t>
  </si>
  <si>
    <t>Demolições e Retiradas</t>
  </si>
  <si>
    <t>Forro</t>
  </si>
  <si>
    <t>Revestimento</t>
  </si>
  <si>
    <t>Impermeabilização</t>
  </si>
  <si>
    <t>10.3</t>
  </si>
  <si>
    <t>10.4</t>
  </si>
  <si>
    <t>10.5</t>
  </si>
  <si>
    <t>Esquadrias</t>
  </si>
  <si>
    <t>13.1</t>
  </si>
  <si>
    <t>13.2</t>
  </si>
  <si>
    <t>Subtotal item 13</t>
  </si>
  <si>
    <t>Sinalização</t>
  </si>
  <si>
    <t>14.1</t>
  </si>
  <si>
    <t>14.2</t>
  </si>
  <si>
    <t>14.3</t>
  </si>
  <si>
    <t>Subtotal item 14</t>
  </si>
  <si>
    <t>Equipamentos de Combâte à Incêndio</t>
  </si>
  <si>
    <t>15.1</t>
  </si>
  <si>
    <t>15.2</t>
  </si>
  <si>
    <t>15.3</t>
  </si>
  <si>
    <t>15.4</t>
  </si>
  <si>
    <t>15.5</t>
  </si>
  <si>
    <t>Instalações Hidráulicas</t>
  </si>
  <si>
    <t>Subtotal item 15</t>
  </si>
  <si>
    <t>Subtotal item 16</t>
  </si>
  <si>
    <t>16.1</t>
  </si>
  <si>
    <t>16.2</t>
  </si>
  <si>
    <t>17.1</t>
  </si>
  <si>
    <t>Subtotal item 17</t>
  </si>
  <si>
    <t>Serviços Complementares</t>
  </si>
  <si>
    <t>18.1</t>
  </si>
  <si>
    <t>Subtotal item 18</t>
  </si>
  <si>
    <t>2.2</t>
  </si>
  <si>
    <t>2.3</t>
  </si>
  <si>
    <t>2.4</t>
  </si>
  <si>
    <t>2.5</t>
  </si>
  <si>
    <t>2.6</t>
  </si>
  <si>
    <t>2.7</t>
  </si>
  <si>
    <t>03.02.040</t>
  </si>
  <si>
    <t>Demolição manual de alvenaria de elevação ou elemento vazado, incluindo revestimento</t>
  </si>
  <si>
    <t>03.01.230</t>
  </si>
  <si>
    <t>Demolição mecanizada de concreto simples, inclusive fragmentação e acomodação do material</t>
  </si>
  <si>
    <t>05.07.050</t>
  </si>
  <si>
    <t xml:space="preserve">Remoção de entulho de obra com caçamba metálica - material volumoso e misturado por alvenaria, terra, madeira, papel, plástico e metal </t>
  </si>
  <si>
    <t>3.2</t>
  </si>
  <si>
    <t>3.3</t>
  </si>
  <si>
    <t>3.4</t>
  </si>
  <si>
    <t>3.5</t>
  </si>
  <si>
    <t>3.6</t>
  </si>
  <si>
    <t>3.7</t>
  </si>
  <si>
    <t>11.01.100</t>
  </si>
  <si>
    <t>Lançamento, espalhamento e adensamento de concreto ou massa em lastro e/ou enchimento</t>
  </si>
  <si>
    <t>10.01.040</t>
  </si>
  <si>
    <t>Armadura em barra de aço CA-50 (A ou B) fyk = 500 Mpa</t>
  </si>
  <si>
    <t>Kg</t>
  </si>
  <si>
    <t>10.01.060</t>
  </si>
  <si>
    <t>Armadura em barra de aço CA-60 (A ou B) fyk = 600 Mpa</t>
  </si>
  <si>
    <t>11.01.130</t>
  </si>
  <si>
    <t>09.01.030</t>
  </si>
  <si>
    <t>14.01.020</t>
  </si>
  <si>
    <t>Alvenaria de embasamento em tijolo maciço comum</t>
  </si>
  <si>
    <t>14.04.210</t>
  </si>
  <si>
    <t>Alvenaria de bloco cerâmico de vedação, uso revestido, de 14 cm</t>
  </si>
  <si>
    <t>4.6</t>
  </si>
  <si>
    <t>16.33.022</t>
  </si>
  <si>
    <t>Calha, rufo, afins em chapa galvanizada nº 24 - corte 0,33 m</t>
  </si>
  <si>
    <t>13.01.130</t>
  </si>
  <si>
    <t>Laje pré-fabricada mista vigota treliçada/lajota cerâmica - LT 12 (8+4) e capa com concreto de 25 MPa</t>
  </si>
  <si>
    <t>22.02.030</t>
  </si>
  <si>
    <t>17.02.020</t>
  </si>
  <si>
    <t>Chapisco</t>
  </si>
  <si>
    <t>17.02.220</t>
  </si>
  <si>
    <t>Alvenaria e Divisórias</t>
  </si>
  <si>
    <t>14.30.010</t>
  </si>
  <si>
    <t>Divisória em placas de granito com espessura de 3 cm</t>
  </si>
  <si>
    <t>Peitoril e/ou soleira em granito, espessura de 2 cm e largura até 20 cm</t>
  </si>
  <si>
    <t>2.8</t>
  </si>
  <si>
    <t>1.2</t>
  </si>
  <si>
    <t>02.05.060</t>
  </si>
  <si>
    <t>Montagem e desmontagem de andaime torre metálica com altura até 10 m</t>
  </si>
  <si>
    <t>02.05.202</t>
  </si>
  <si>
    <t>Andaime torre metálico (1,5 x 1,5 m) com piso metálico</t>
  </si>
  <si>
    <t>mxmês</t>
  </si>
  <si>
    <t>1.3</t>
  </si>
  <si>
    <t>02.10.020</t>
  </si>
  <si>
    <t>1.4</t>
  </si>
  <si>
    <t>Locação de obra de edificação</t>
  </si>
  <si>
    <t>1.5</t>
  </si>
  <si>
    <t>02.02.150</t>
  </si>
  <si>
    <t>Locação de container tipo depósito - área mínima de 13,80 m²</t>
  </si>
  <si>
    <t>unxmês</t>
  </si>
  <si>
    <t>02.03.110</t>
  </si>
  <si>
    <t>Tapume móvel para fechamento de áreas</t>
  </si>
  <si>
    <t>1.6</t>
  </si>
  <si>
    <t>23.13.052</t>
  </si>
  <si>
    <t>Porta lisa de madeira, interna, resistente a umidade "PIM RU", para acabamento em pintura, tipo acessível, padrão dimensional médio/pesado, com ferragens, completo - 90 x 210 cm</t>
  </si>
  <si>
    <t>unid.</t>
  </si>
  <si>
    <t>23.04.570</t>
  </si>
  <si>
    <t>Porta em laminado melamínico estrutural com acabamento texturizado, batente em alumínio com ferragens - 60 x 180 cm</t>
  </si>
  <si>
    <t>16.3</t>
  </si>
  <si>
    <t>16.4</t>
  </si>
  <si>
    <t>16.5</t>
  </si>
  <si>
    <t>Louças e Metais</t>
  </si>
  <si>
    <t>30.04.060</t>
  </si>
  <si>
    <t>Revestimento em chapa de aço inoxidável para proteção de portas, altura de 40 cm</t>
  </si>
  <si>
    <t>30.01.120</t>
  </si>
  <si>
    <t>Barra de apoio reta, para pessoas com mobilidade reduzida, em tubo de aço inoxidável de 1 1/4´ x 400 mm</t>
  </si>
  <si>
    <t>30.01.030</t>
  </si>
  <si>
    <t>Barra de apoio reta, para pessoas com mobilidade reduzida, em tubo de aço inoxidável de 1 1/2´ x 800 mm</t>
  </si>
  <si>
    <t>33.10.030</t>
  </si>
  <si>
    <t>33.11.050</t>
  </si>
  <si>
    <t>11.5</t>
  </si>
  <si>
    <t>13.3</t>
  </si>
  <si>
    <t>13.4</t>
  </si>
  <si>
    <t>13.5</t>
  </si>
  <si>
    <t>13.6</t>
  </si>
  <si>
    <t>13.7</t>
  </si>
  <si>
    <t>13.8</t>
  </si>
  <si>
    <t>30.04.010</t>
  </si>
  <si>
    <t>Revestimento em borracha sintética colorida de 5,0 mm, para sinalização tátil de alerta /direcional - assentamento argamassado</t>
  </si>
  <si>
    <t>30.06.080</t>
  </si>
  <si>
    <t>Placa de identificação em alumínio para WC, com desenho universal de acessibilidade</t>
  </si>
  <si>
    <t>40.04.450</t>
  </si>
  <si>
    <t>Tomada 2P+T de 10 A - 250 V, completa</t>
  </si>
  <si>
    <t>38.19.030</t>
  </si>
  <si>
    <t>Eletroduto de PVC corrugado flexível leve, diâmetro externo de 25 mm</t>
  </si>
  <si>
    <t>40.07.010</t>
  </si>
  <si>
    <t>Caixa em PVC de 4´ x 2´</t>
  </si>
  <si>
    <t>39.26.020</t>
  </si>
  <si>
    <t>Cabo de cobre flexível de 2,5 mm², isolamento 0,6/1 kV - isolação HEPR 90°C - baixa emissão de fumaça e gases</t>
  </si>
  <si>
    <t>37.13.630</t>
  </si>
  <si>
    <t>50.10.058</t>
  </si>
  <si>
    <t>Extintor manual de pó químico seco BC - capacidade de 4 kg</t>
  </si>
  <si>
    <t>50.10.100</t>
  </si>
  <si>
    <t>Extintor manual de água pressurizada - capacidade de 10 litros</t>
  </si>
  <si>
    <t>15.6</t>
  </si>
  <si>
    <t>46.03.050</t>
  </si>
  <si>
    <t>Tubo de PVC rígido PxB com virola e anel de borracha, linha esgoto série reforçada ´R´, DN=100 mm, inclusive conexões</t>
  </si>
  <si>
    <t>46.03.080</t>
  </si>
  <si>
    <t>Tubo de PVC rígido, pontas lisas, soldável, linha esgoto série reforçada ´R´, DN= 40 mm, inclusive conexões</t>
  </si>
  <si>
    <t>46.03.038</t>
  </si>
  <si>
    <t>Tubo de PVC rígido PxB com virola e anel de borracha, linha esgoto série reforçada ´R´, DN= 50 mm, inclusive conexões</t>
  </si>
  <si>
    <t>49.01.030</t>
  </si>
  <si>
    <t>Caixa sifonada de PVC rígido de 150 x 150 x 50 mm, com grelha</t>
  </si>
  <si>
    <t>49.04.010</t>
  </si>
  <si>
    <t>Ralo seco em PVC rígido de 100 x 40 mm, com grelha</t>
  </si>
  <si>
    <t>16.6</t>
  </si>
  <si>
    <t>16.7</t>
  </si>
  <si>
    <t>16.8</t>
  </si>
  <si>
    <t>16.9</t>
  </si>
  <si>
    <t>16.10</t>
  </si>
  <si>
    <t>16.11</t>
  </si>
  <si>
    <t>16.12</t>
  </si>
  <si>
    <t>16.13</t>
  </si>
  <si>
    <t>16.14</t>
  </si>
  <si>
    <t>46.01.020</t>
  </si>
  <si>
    <t>Tubo de PVC rígido soldável marrom, DN= 25 mm, (3/4´), inclusive conexões</t>
  </si>
  <si>
    <t>46.01.040</t>
  </si>
  <si>
    <t>Tubo de PVC rígido soldável marrom, DN= 40 mm, (1 1/4´), inclusive conexões</t>
  </si>
  <si>
    <t>48.05.010</t>
  </si>
  <si>
    <t>Torneira de boia, DN= 3/4´</t>
  </si>
  <si>
    <t>30.08.060</t>
  </si>
  <si>
    <t>Bacia sifonada de louça para pessoas com mobilidade reduzida - 6 litros</t>
  </si>
  <si>
    <t>30.08.040</t>
  </si>
  <si>
    <t>Lavatório de louça para canto sem coluna para pessoas com mobilidade reduzida</t>
  </si>
  <si>
    <t>44.03.050</t>
  </si>
  <si>
    <t>Dispenser papel higiênico em ABS para rolão 300 / 600 m, com visor</t>
  </si>
  <si>
    <t>44.20.280</t>
  </si>
  <si>
    <t>Tampa de plástico para bacia sanitária</t>
  </si>
  <si>
    <t>44.01.200</t>
  </si>
  <si>
    <t>Mictório de louça sifonado auto aspirante</t>
  </si>
  <si>
    <t>55.01.020</t>
  </si>
  <si>
    <t>Limpeza final da obra</t>
  </si>
  <si>
    <t>97.02.194</t>
  </si>
  <si>
    <t>Placa de sinalização em PVC fotoluminescente (150x150mm), com indicação de equipamentos de combate à incêndio e alarme</t>
  </si>
  <si>
    <t>97.02.195</t>
  </si>
  <si>
    <t>Placa de sinalização em PVC fotoluminescente, com indicação de rota de evacuação e saída de emergência</t>
  </si>
  <si>
    <t>97.02.210</t>
  </si>
  <si>
    <t>Placa de sinalização em PVC para ambientes</t>
  </si>
  <si>
    <t>13.9</t>
  </si>
  <si>
    <t>13.10</t>
  </si>
  <si>
    <t>13.11</t>
  </si>
  <si>
    <t>6.3</t>
  </si>
  <si>
    <t>6.4</t>
  </si>
  <si>
    <t>04.30.020</t>
  </si>
  <si>
    <t>Remoção de calha ou rufo</t>
  </si>
  <si>
    <t>40.05.020</t>
  </si>
  <si>
    <t>Interruptor com 1 tecla simples e placa</t>
  </si>
  <si>
    <t>44.01.050</t>
  </si>
  <si>
    <t>Bacia sifonada de louça sem tampa - 6 litros</t>
  </si>
  <si>
    <t>46.01.030</t>
  </si>
  <si>
    <t>Tubo de PVC rígido soldável marrom, DN= 32 mm, (1´), inclusive conexões</t>
  </si>
  <si>
    <t>46.01.050</t>
  </si>
  <si>
    <t>Tubo de PVC rígido soldável marrom, DN= 50 mm, (1 1/2´), inclusive conexões</t>
  </si>
  <si>
    <t>47.01.060</t>
  </si>
  <si>
    <t>Registro de gaveta em latão fundido sem acabamento, DN= 2´</t>
  </si>
  <si>
    <t>6.5</t>
  </si>
  <si>
    <t>15.01.310</t>
  </si>
  <si>
    <t>Estrutura em terças para telhas de barro</t>
  </si>
  <si>
    <t>16.02.020</t>
  </si>
  <si>
    <t>Telha de barro tipo francesa</t>
  </si>
  <si>
    <t>16.02.230</t>
  </si>
  <si>
    <t>Cumeeira de barro emboçado tipos: plan, romana, italiana, francesa e paulistinha</t>
  </si>
  <si>
    <t>Instalações Elétricas</t>
  </si>
  <si>
    <t>04.03.020</t>
  </si>
  <si>
    <t>04.07.020</t>
  </si>
  <si>
    <t>Retirada de telhamento em barro</t>
  </si>
  <si>
    <t>04.02.050</t>
  </si>
  <si>
    <t>Retirada de estrutura em madeira tesoura - telhas de barro</t>
  </si>
  <si>
    <t>04.14.020</t>
  </si>
  <si>
    <t>Retirada de vidro ou espelho com raspagem da massa ou retirada de baguete</t>
  </si>
  <si>
    <t>33.01.280</t>
  </si>
  <si>
    <t>Reparo de trincas rasas até 5,0 mm de largura, na massa</t>
  </si>
  <si>
    <t>03.03.040</t>
  </si>
  <si>
    <t>Infraestrutura</t>
  </si>
  <si>
    <t>Retirada de forro qualquer em placas ou tiras fixadas</t>
  </si>
  <si>
    <t>24.01.030</t>
  </si>
  <si>
    <t>26.01.040</t>
  </si>
  <si>
    <t>41.31.070</t>
  </si>
  <si>
    <t>Luminária LED quadrada de sobrepor com difusor prismático translúcido, 4000 K, fluxo luminoso de 1363 a 1800 lm, potência de 15 a 19 W</t>
  </si>
  <si>
    <t>33.10.020</t>
  </si>
  <si>
    <t>33.05.330</t>
  </si>
  <si>
    <t>12.2</t>
  </si>
  <si>
    <t>12.3</t>
  </si>
  <si>
    <t>12.4</t>
  </si>
  <si>
    <t>12.5</t>
  </si>
  <si>
    <t>15.7</t>
  </si>
  <si>
    <t>15.8</t>
  </si>
  <si>
    <t>15.9</t>
  </si>
  <si>
    <t>15.10</t>
  </si>
  <si>
    <t>15.11</t>
  </si>
  <si>
    <t>8.6</t>
  </si>
  <si>
    <t>04.09.020</t>
  </si>
  <si>
    <t>2.9</t>
  </si>
  <si>
    <t>Retirada de esquadria metálica em geral</t>
  </si>
  <si>
    <t>16.40.120</t>
  </si>
  <si>
    <t>6.6</t>
  </si>
  <si>
    <t>Recolocação de telhas de barro tipo francesa</t>
  </si>
  <si>
    <t>16.40.040</t>
  </si>
  <si>
    <t>6.7</t>
  </si>
  <si>
    <t>Recolocação de cumeeiras e espigões de barro</t>
  </si>
  <si>
    <t>24.20.020</t>
  </si>
  <si>
    <t>10.6</t>
  </si>
  <si>
    <t>Local: Rua Dom Pedro II - Pátio da Estação Ferroviária do Distrito de Sapezal - Paraguaçu Paulista - SP</t>
  </si>
  <si>
    <t>2.10</t>
  </si>
  <si>
    <t>04.08.020</t>
  </si>
  <si>
    <t>23.20.040</t>
  </si>
  <si>
    <t>10.7</t>
  </si>
  <si>
    <t>11.04.060</t>
  </si>
  <si>
    <t>14.02.030</t>
  </si>
  <si>
    <t>5.4</t>
  </si>
  <si>
    <t>Alvenaria de elevação de 1/2 tijolo maciço comum</t>
  </si>
  <si>
    <t>14.20.010</t>
  </si>
  <si>
    <t>5.5</t>
  </si>
  <si>
    <t>Vergas, contravergas e pilaretes de concreto armado</t>
  </si>
  <si>
    <t>04.03.060</t>
  </si>
  <si>
    <t>2.11</t>
  </si>
  <si>
    <t>Retirada de cumeeira ou espigão em barro</t>
  </si>
  <si>
    <t>17.02.120</t>
  </si>
  <si>
    <t>8.7</t>
  </si>
  <si>
    <t>9.2</t>
  </si>
  <si>
    <t>03.04.020</t>
  </si>
  <si>
    <t>2.12</t>
  </si>
  <si>
    <t>23.13.002</t>
  </si>
  <si>
    <t>Porta lisa de madeira, interna "PIM", para acabamento em pintura, padrão dimensional médio/pesado, com ferragens, completo - 90 x 210 cm</t>
  </si>
  <si>
    <t>44.01.270</t>
  </si>
  <si>
    <t>16.15</t>
  </si>
  <si>
    <t>Cuba de louça de embutir oval</t>
  </si>
  <si>
    <t>16.16</t>
  </si>
  <si>
    <t>44.03.480</t>
  </si>
  <si>
    <t>Torneira de mesa para lavatório compacta, acionamento hidromecânico, em latão cromado, DN= 1/2´ - Torneiras para lavatórios</t>
  </si>
  <si>
    <t>CDHU-183</t>
  </si>
  <si>
    <t>Torneira de mesa com bica móvel e alavanca</t>
  </si>
  <si>
    <t>44.03.315</t>
  </si>
  <si>
    <t>16.17</t>
  </si>
  <si>
    <t>12.01.041</t>
  </si>
  <si>
    <t>19.01.062</t>
  </si>
  <si>
    <t>Impermeabilização em argamassa polimérica para umidade e água de percolação</t>
  </si>
  <si>
    <t>32.17.030</t>
  </si>
  <si>
    <t>Tampo/bancada em granito, com frontão, espessura de 2 cm, acabamento polido</t>
  </si>
  <si>
    <t xml:space="preserve">Obra: Ampliação e Adequação da Estação Ferroviária de Sapezal </t>
  </si>
  <si>
    <t>Base: CDHU - 183</t>
  </si>
  <si>
    <t>Data: Novembro/2021</t>
  </si>
  <si>
    <t>44.02.062</t>
  </si>
  <si>
    <t>Memorial de cálculo</t>
  </si>
  <si>
    <t>1 POR CADA 4 MESES</t>
  </si>
  <si>
    <t>Válvula de descarga com registro próprio, DN= 1 1/4´</t>
  </si>
  <si>
    <t>47.04.030</t>
  </si>
  <si>
    <t>PARA CONTROLE DOS RAMAIS DE ALIMENTAÇÃO DOS LAVATÓRIOS DOS SANITÁRIOS COMUNS, PNE E FRALDÁRIO</t>
  </si>
  <si>
    <t>PARA ACIONAMENTO DOS SANITARIOS DOS BOXES</t>
  </si>
  <si>
    <t>PARA AS  PORTAS  E OS LAVATÓRIOS DOS SANITÁRIOS PNE</t>
  </si>
  <si>
    <t>PARA OS 2 SANITÁRIOS PNE</t>
  </si>
  <si>
    <t>PARA OS 2 SANITÁRIOS ACESSÍVEIS</t>
  </si>
  <si>
    <t>PARA 2 LAVATÓRIOS ACESSÍVEIS</t>
  </si>
  <si>
    <t>PARA OS SANITÁRIOS</t>
  </si>
  <si>
    <t>PARA A BACIA SIFONADA DOS SANITÁRIOS</t>
  </si>
  <si>
    <t>PARA OS 6 BOXES DOS SANITÁRIOS COMUNS</t>
  </si>
  <si>
    <t>PARA O SANITÁRIO MASCULINO</t>
  </si>
  <si>
    <t>PARA OS SANITÁRIOS MASC. E FEMININO</t>
  </si>
  <si>
    <t>PARA LAVATÓRIO FRALDÁRIO</t>
  </si>
  <si>
    <t>PARA ACESSO AOS 2 SANITÁRIOS PNE</t>
  </si>
  <si>
    <t>2 PARA CADA SANIT; 1 PARA CADA SANITÁRIO PNE E 1 PARA O FRALDÁRIO</t>
  </si>
  <si>
    <t>PARA RESERVATÓRIO</t>
  </si>
  <si>
    <t>ÁREA DE PROJEÇÃO DO EDIFÍCIO</t>
  </si>
  <si>
    <t>Prefeitura Municipal da Estância Turistica de Paraguaçu Paulista</t>
  </si>
  <si>
    <t>Estado de São paulo</t>
  </si>
  <si>
    <t>CRONOGRAMA FÍSICO FINANCEIRO</t>
  </si>
  <si>
    <t>MÊS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</si>
  <si>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</si>
  <si>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</si>
  <si>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</si>
  <si>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</si>
  <si>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</si>
  <si>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</si>
  <si>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</si>
  <si>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</si>
  <si>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TOTAL</t>
  </si>
  <si>
    <t>SERVIÇOS</t>
  </si>
  <si>
    <t>1.0</t>
  </si>
  <si>
    <t>SERVIÇOS PRELIMINARES</t>
  </si>
  <si>
    <t>2.0</t>
  </si>
  <si>
    <t>INFRAESTRUTURA</t>
  </si>
  <si>
    <t>3.0</t>
  </si>
  <si>
    <t>4.0</t>
  </si>
  <si>
    <t>5.0</t>
  </si>
  <si>
    <t>COBERTURA</t>
  </si>
  <si>
    <t>6.0</t>
  </si>
  <si>
    <t>FORRO</t>
  </si>
  <si>
    <t>7.0</t>
  </si>
  <si>
    <t>REVESTIMENTO</t>
  </si>
  <si>
    <t>8.0</t>
  </si>
  <si>
    <t>9.0</t>
  </si>
  <si>
    <t>10.0</t>
  </si>
  <si>
    <t>11.0</t>
  </si>
  <si>
    <t>PINTURA</t>
  </si>
  <si>
    <t>12.0</t>
  </si>
  <si>
    <t>13.0</t>
  </si>
  <si>
    <t>14.0</t>
  </si>
  <si>
    <t>15.0</t>
  </si>
  <si>
    <t>16.0</t>
  </si>
  <si>
    <t>17.0</t>
  </si>
  <si>
    <t>LIMPEZA</t>
  </si>
  <si>
    <t>TOTAL (%)</t>
  </si>
  <si>
    <t>TOTAL COM BDI (R$)</t>
  </si>
  <si>
    <t>Resp. Técnico: Arq. Dênis Mendes de Moraes</t>
  </si>
  <si>
    <t>DEMOLIÇÕES E RETIRADAS</t>
  </si>
  <si>
    <t>SUPERESTRUTURA</t>
  </si>
  <si>
    <t>ALVENÁRIA E DIVISÓRIAS</t>
  </si>
  <si>
    <t>IMPERMEABILIZAÇÃO</t>
  </si>
  <si>
    <t>ESQUADRIAS</t>
  </si>
  <si>
    <t>SINALIZAÇÃO</t>
  </si>
  <si>
    <t>INSTALAÇÕES ELÉTRICAS</t>
  </si>
  <si>
    <t>EQUIPAMENTOS DE COMBATE A INCÊNDIO</t>
  </si>
  <si>
    <t>INSTALAÇÕES HIDRAULICAS</t>
  </si>
  <si>
    <t>LOUÇAS E METAIS</t>
  </si>
  <si>
    <t>SERVIÇOS COMPLEMENTARES</t>
  </si>
  <si>
    <t xml:space="preserve">OBJETO: Ampliação e Adequação da Estação Ferroviária de Sapezal </t>
  </si>
  <si>
    <t>LOCAL:  Rua Dom Pedro II - Pátio da Estação Ferroviária do Distrito de Sapezal - Paraguaçu Paulista - SP</t>
  </si>
  <si>
    <t>PARA SANITÁRIOS COMUNS</t>
  </si>
  <si>
    <t>REPARO GERAL</t>
  </si>
  <si>
    <t>PARA SINALIZAÇÃO DOS EXTINTORES</t>
  </si>
  <si>
    <t>PARA SINALIZAÇÃO DE ROTAS DE FUGA</t>
  </si>
  <si>
    <t>SINALIZAÇÃO DOS SANITÁRIOS COMUNS</t>
  </si>
  <si>
    <t>SINALIZAÇÃO DOS SANITÁRIOS PNE</t>
  </si>
  <si>
    <t>PARA ALIMENTAÇÃO DOS SANITÁRIOS E FRALDÁRIO</t>
  </si>
  <si>
    <t>50.05.260</t>
  </si>
  <si>
    <t>Bloco autônomo de iluminação de emergência com autonomia mínima de 1 hora, equipado com 2 lâmpadas de 11 W</t>
  </si>
  <si>
    <t>LUZ DE EMERGÊNCIA</t>
  </si>
  <si>
    <t>PARA CAIXA DE PASSAGEM E ENERGIA</t>
  </si>
  <si>
    <t>PARA O QDL</t>
  </si>
  <si>
    <t>PARA ILUMINAÇÃO DOS COMODOS</t>
  </si>
  <si>
    <t>PARA PREV. COMBATE E INCÊNDIO</t>
  </si>
  <si>
    <t>PARA CAIXA D'AGUA</t>
  </si>
  <si>
    <t>18.11.032</t>
  </si>
  <si>
    <t>PRAZO PROPOSTO</t>
  </si>
  <si>
    <t>ITEM</t>
  </si>
  <si>
    <t>UNIDADE</t>
  </si>
  <si>
    <t>%</t>
  </si>
  <si>
    <t>R$</t>
  </si>
  <si>
    <t>INSTALAÇÕES HIDRÁULICAS</t>
  </si>
  <si>
    <t>RRTs - 11439878 - 11439908</t>
  </si>
  <si>
    <t>(3*1,5)+(1,5*1)= 6 m³ - para identificação da obra</t>
  </si>
  <si>
    <t>Para a área ampliada da edificação</t>
  </si>
  <si>
    <t>12*4 = 48 para uso na ampiação</t>
  </si>
  <si>
    <t>(6+6)= 12 m para uso na ampliação</t>
  </si>
  <si>
    <t>((11,5*0,05)+(20,05*0,05))= 1,58m³ para o contrapiso existente - sanitários e fraldário</t>
  </si>
  <si>
    <t>Comprimento da cumeeira</t>
  </si>
  <si>
    <t>Revestimento em placa cerâmica esmaltada, tipo monoporosa, retangular, assentado e rejuntado com argamassa industrializada</t>
  </si>
  <si>
    <t>((3,43*6)+(2,46*2)+(34,774*3)+(3,43*6))= 150,40 m² ´para as paredes dos sanitários e fraldário</t>
  </si>
  <si>
    <t>(0,9*4)= 3,60 m para as portas dos sanitários</t>
  </si>
  <si>
    <t>16.18</t>
  </si>
  <si>
    <t>Tanque de louça com coluna de 30 litros</t>
  </si>
  <si>
    <t>44.01.310</t>
  </si>
  <si>
    <t>16.19</t>
  </si>
  <si>
    <t>16.20</t>
  </si>
  <si>
    <t>Para o fraldário</t>
  </si>
  <si>
    <t xml:space="preserve">Torneira longa sem rosca para uso geral, em latão fundido cromado </t>
  </si>
  <si>
    <t>44.03.450</t>
  </si>
  <si>
    <t>Para o tanque</t>
  </si>
  <si>
    <t xml:space="preserve">Revestimento em porcelanato esmaltado acetinado para área interna e 
ambiente com acesso ao exterior, grupo de absorção BIa, resistência 
química B, assentado com argamassa colante industrializada, rejuntado
</t>
  </si>
  <si>
    <t xml:space="preserve">18.08.090
</t>
  </si>
  <si>
    <t>Rodapé em porcelanato esmaltado acetinado para área interna e 
ambiente com acesso ao exterior, grupo de absorção BIa, resistência 
química B, assentado com argamassa colante industrializada, rejuntado</t>
  </si>
  <si>
    <t xml:space="preserve">18.08.100
</t>
  </si>
  <si>
    <t>Placa em lona com impressão digital e requadro em metalon</t>
  </si>
  <si>
    <t>02.08.040</t>
  </si>
  <si>
    <t xml:space="preserve">PARA SANITÁRIOS COMUNS </t>
  </si>
  <si>
    <t>13.12</t>
  </si>
  <si>
    <t>Cabo de cobre flexível de 1,5 mm², isolamento 0,6/1 kV - isolação HEPR 90°C - baixa emissão de fumaça e gases</t>
  </si>
  <si>
    <t>39.26.010</t>
  </si>
  <si>
    <t>Retirada de folha de esquadria em madeira ( porta fraldário, depósitoe área de exposição)</t>
  </si>
  <si>
    <t>Demolição manual de revestimento em massa de parede ou teto ( fraldario, sanitario fem e mas antigo e hall)</t>
  </si>
  <si>
    <t>Demolição manual de revestimento cerâmico, incluindo a base (fraldário+2 sanitários antigos+piso frandario e sanitarios)</t>
  </si>
  <si>
    <t>03.01.020</t>
  </si>
  <si>
    <t>Demolição manual de concreto simples ( sanitarios antigos, circulação,fraldário + piso de concreto externo )</t>
  </si>
  <si>
    <t>2.13</t>
  </si>
  <si>
    <t>Escavação manual em solo de 1ª e 2ª categoria em vala ou cava até 1,50 m ( para vigas e sapatas)</t>
  </si>
  <si>
    <t>11.18.040</t>
  </si>
  <si>
    <t>3.8</t>
  </si>
  <si>
    <t>Concreto não estrutural executado no local, mínimo 300 kg cimento / m³ (contrapiso sanitarios antigos, sanitatios novos, fraldário, circulação sanitários acessiveis+ pavimento externo com largura de 1 m.)</t>
  </si>
  <si>
    <t>Lastro de pedra britada ( para saparas e baldrame)</t>
  </si>
  <si>
    <t>Concreto usinado, fck = 25,0 Mpa (vigas e pilares)</t>
  </si>
  <si>
    <t>Forma em madeira comum para estrutura ( vigas e pilares)</t>
  </si>
  <si>
    <t>22.01.210</t>
  </si>
  <si>
    <t>Testeira em tábua aparelhada, largura até 20 cm</t>
  </si>
  <si>
    <t>(5,1+1,5+9,8+9,4+1,05)*2,20= 59,07 m² para proteção da área ampliada da estação</t>
  </si>
  <si>
    <t>((6,35*5)*1,077)+(5,26*4,28)=  56,71 m² para a área dos sanitários incluindo beiral e parte da estação</t>
  </si>
  <si>
    <t>31,42*1,077=  33,84 m² -para a área dos sanitários incluindo beiral e parte da estação</t>
  </si>
  <si>
    <t>(1,2*2,05*3)+(1,2*3)+(1,5*0,8*2)= 13,38 m² das esquadrias existentes</t>
  </si>
  <si>
    <t>REMOÇÃO DE CALHA OU RUFO</t>
  </si>
  <si>
    <t>(4,95+4,95+4,2+4,2+2,8+2,8+3,28+3,28+13,34)*1,5= 65,70 m² ( fraldario, sanitario fem. e masc. antigo e hall)</t>
  </si>
  <si>
    <t>8,45+8,47+2,07+10,23+11,05= 40,27 m² dos sanitários existentes</t>
  </si>
  <si>
    <t>((1,5*0,8)*2+(1,2*3)+(2,1*0,9)*2)= 9,78 m²</t>
  </si>
  <si>
    <t xml:space="preserve"> 3 portas indicados no projeto( porta fraldário, depósitoe área de exposição)</t>
  </si>
  <si>
    <t>5+5,26= 10,26 m</t>
  </si>
  <si>
    <t>(13,33*2)+(23,73*1,5)+30,08= 92,34 m² (fraldário+2 sanitários antigos+piso fraldario e sanitarios)</t>
  </si>
  <si>
    <t>(40,65+26,04)*0,05= 3,33 m³  ( sanitarios antigos, circulação,fraldário + piso de concreto externo )</t>
  </si>
  <si>
    <t>((6,8+7,33+(2,8*2)+1,5+4,76)*0,15*0,25)+((1,5+2,57)*0,15*0,22)+(0,15*0,22*2,9*14)= 2,45 m³ (vigas e pilares)</t>
  </si>
  <si>
    <t>(2,45*90*0,80)= 176,31 kg (vigas e pilares)</t>
  </si>
  <si>
    <t>(2,45*90*0,20)= 44,08 kg (vigas e pilares)</t>
  </si>
  <si>
    <t>(((6,8+7,33+(2,8*2)+1,5+4,76)*0,3*2))+(((1,5+2,57)*0,15*0,22)*0,3*2)+(2,9*2*0,3*14)= 40,03 m² ( vigas e pilares)</t>
  </si>
  <si>
    <t>Forro em painéis de gesso acartonado, espessura de 12,5 mm, fixo ( para sanitarios antigos, sanitarios acessiveis, e fraldário)</t>
  </si>
  <si>
    <t>20.01.040</t>
  </si>
  <si>
    <t>Lambril em madeira macho/fêmea tarugado, exceto pinus (circulação, hall e depósito em nével, e na estação inclinado)</t>
  </si>
  <si>
    <t>Reboco (áreas internas da ampliação, sanitários antigos e fraldário)</t>
  </si>
  <si>
    <t>Emboço comum ( para areas externas novas,circulação e parte externa da estação de estação de embarque)</t>
  </si>
  <si>
    <t>Impermeabilização em argamassa impermeável com aditivo hidrófugo</t>
  </si>
  <si>
    <t>32.17.010</t>
  </si>
  <si>
    <t>Caixilho em ferro basculante, sob medida (para J1, J12 e J3)</t>
  </si>
  <si>
    <t>Vidro liso transparente de 4 mm ( J1, J2,J3,J4  e P4)</t>
  </si>
  <si>
    <t>Recolocação de esquadrias metálicas ( retirada p4)</t>
  </si>
  <si>
    <t>Recolocação de folhas de porta ou janela (P5 - 2 FOLHAS CADA)</t>
  </si>
  <si>
    <t>Tinta acrílica antimofo em massa, inclusive preparo ( para área externa)</t>
  </si>
  <si>
    <t>Tinta látex em massa, inclusive preparo ( area interna)</t>
  </si>
  <si>
    <t>(8,54*2,2*0,2)+(9,4*2*0,2)= 7,52 m³ para as paredes de alvenaria assinaladas em amarelo no projeto</t>
  </si>
  <si>
    <t xml:space="preserve"> ((6,8+7,33+2,8+2,8+2,1+2,1+1,5+4,76)*0,2*0,2)= 1,21 m³ - embasamneto das vigas baldrame</t>
  </si>
  <si>
    <t>(2,8+0,18+2,58+7,33+(1,42*2)+2,1+1,475)*0,14*0,2= 0,54 m³</t>
  </si>
  <si>
    <t>(64,51*1,077)= 69,48 m² para a cobertura nova e parte da existente</t>
  </si>
  <si>
    <t>(64,51*1,077)= 69,48 m² - para a cobertura nova e parte da existente</t>
  </si>
  <si>
    <t>8,1*1,077= 8,72 m</t>
  </si>
  <si>
    <t>(13,92+(8,72*4))= 48,80 m</t>
  </si>
  <si>
    <t>5,26*4,28=  22,51 m² para a cobertura da parte ja existente</t>
  </si>
  <si>
    <t xml:space="preserve"> para o telhado antigo</t>
  </si>
  <si>
    <t>(5,95+5,96+6,59+3,15+3,13+11,14)= 35,92 m² ( para sanitarios antigos, sanitarios acessiveis, e fraldário)</t>
  </si>
  <si>
    <t>288,84+208,86= 497,71 m²  ( para areas externas novas,circulação e parte externa da estação de estação de embarque) + (áreas internas da ampliação, sanitários antigos e fraldário)</t>
  </si>
  <si>
    <t>((2,96+6,78+7,33+2,57+1,68+12,88)*2,78)+(20,68)+((1,31+40)*4,19) = 288,84 m² ( para areas externas novas,circulação e parte externa da estação de estação de embarque)</t>
  </si>
  <si>
    <t>Verniz em superfície de madeira (PORTAS ANTIGAS INTERNAS, SANITARIOS ACESIVEIS E PORTA DE CORRER DE MADEIRA(P5)+FORRO DE LAMBRIL+testeira)</t>
  </si>
  <si>
    <t>Esmalte à base água em superfície metálica, inclusive preparo (para janelas e portas em aço, pilares metalicos da plataforma e corrimão)</t>
  </si>
  <si>
    <t>Cabo de cobre flexível de 4 mm², isolamento 0,6/1 kV - isolação HEPR 90°C - baixa emissão de fumaça e gases</t>
  </si>
  <si>
    <t>39.26.030</t>
  </si>
  <si>
    <t>Perfilado perfurado 38 x 38 mm em chapa 14 pré-zincada, com acessórios</t>
  </si>
  <si>
    <t>38.07.310</t>
  </si>
  <si>
    <t>Luminária industrial pendente com refletor prismático sem alojamento para reator, para lâmpadas vapor de sódio/metálico ou mista de 150/250/400W</t>
  </si>
  <si>
    <t>41.14.510</t>
  </si>
  <si>
    <t>Lâmpada LED 13,5W, com base E-27, 1400 até 1510lm</t>
  </si>
  <si>
    <t>41.02.580</t>
  </si>
  <si>
    <t>Disjuntor termomagnético, bipolar 220/380 V, corrente de 10 A até 50 A ( para dois circuitos acrescentados no QDL existente)</t>
  </si>
  <si>
    <t>Reservatório em polietileno com tampa de rosca - capacidade de 500 litros</t>
  </si>
  <si>
    <t>48.02.401</t>
  </si>
  <si>
    <t>44.03.720</t>
  </si>
  <si>
    <t>Torneira de mesa para lavatório, acionamento hidromecânico com alavanca, registro integrado regulador de vazão, em latão cromado, DN= 1/2´</t>
  </si>
  <si>
    <t>44.06.360</t>
  </si>
  <si>
    <t>Cuba em aço inoxidável simples de 500x400x200mm ( para fraldário)</t>
  </si>
  <si>
    <t>(11,86+16,03+9,74+9,79+7,2+7,17+13,34)*2,78= 208,86  m² (áreas internas da ampliação, sanitários antigos e fraldário)</t>
  </si>
  <si>
    <t>30,19*0,8*0,02= 0,48  m² para as vigas baldrame</t>
  </si>
  <si>
    <t xml:space="preserve">30,19*0,8 =24,15  m² para as vigas baldarame </t>
  </si>
  <si>
    <t>3,84+1,6+1,2= 6,64 m²  (para J1, J12 e J3)</t>
  </si>
  <si>
    <t>3,84+1,2+1,6+7,38+(1,2*2)= 16,42 m²  ( J1, J2,J3,J4  e P4)</t>
  </si>
  <si>
    <t>1,2*3 = 3,60 m² (RETIRADA P4)</t>
  </si>
  <si>
    <t xml:space="preserve"> (P5 - 2 FOLHAS CADA)</t>
  </si>
  <si>
    <t>288,84+(60,97+263,18+31,72) =  644,71 m² (área interna)</t>
  </si>
  <si>
    <t>((0,9*2,1)*7*2)+((1,2*3)*2)+80,66+(8,72*0,2)= 116,06 m²  (PORTAS ANTIGAS INTERNAS, SANITARIOS ACESIVEIS E PORTA DE CORRER DE MADEIRA(P5)+FORRO DE LAMBRIL+testeira)</t>
  </si>
  <si>
    <t>INDICADAS CONFORME PROJETO</t>
  </si>
  <si>
    <t>100,70*1= 100,70 m (para energia e iluminação nos pontos indicados no projeto)</t>
  </si>
  <si>
    <t>100,70*3= 302,10 m (para energia e iluminação nos pontos indicados no projeto)</t>
  </si>
  <si>
    <t>7,35*3= 22,05 m  (para energia e iluminação nos pontos indicados no projeto)</t>
  </si>
  <si>
    <t>PARA ILUMINAÇÃO</t>
  </si>
  <si>
    <t>1,57+5,57+3,14+4,03= 14,31 m (PARA ILUMINAÇÃO DOS COMODOS)</t>
  </si>
  <si>
    <t>(1,86*6)+(10,18+6,38+3,36+8,82+1,69+3,78+2,4)=47,77 m (para rede hidraulica)</t>
  </si>
  <si>
    <t>1,88*2+1,5+1,8+0,76+0,6= 8,42 m ( para rede hidraulica)</t>
  </si>
  <si>
    <t>(14*2)+2,5+1,5+2,62+2,85+1,83+3,1+1,88+1,88+1,86= 48,02 m (para rede de água fria)</t>
  </si>
  <si>
    <t>3 m (para rede de água fria)</t>
  </si>
  <si>
    <t>12*2=24 m (para rede de água fria)</t>
  </si>
  <si>
    <t>9*2,38= 21,42 m (para rede de água fria)</t>
  </si>
  <si>
    <t>16.21</t>
  </si>
  <si>
    <t>(1,3*2)+2,23+1,16= 5,99 m² ( para sanitario)</t>
  </si>
  <si>
    <t>para fraldário</t>
  </si>
  <si>
    <t>Quadro de distribuição universal de embutir, para disjuntores 16 DIN / 12 Bolt-on - 150 A - sem componentes</t>
  </si>
  <si>
    <t>37.03.200</t>
  </si>
  <si>
    <t>13.13</t>
  </si>
  <si>
    <t>Disjuntor termomagnético, bipolar 220/380 V, corrente de 10 A até 50 A</t>
  </si>
  <si>
    <t>13.14</t>
  </si>
  <si>
    <t>13.15</t>
  </si>
  <si>
    <t>Disjuntor termomagnético, bipolar 220/380 V, corrente de 60 A até 100 A</t>
  </si>
  <si>
    <t>37.13.640</t>
  </si>
  <si>
    <t>Terminal estanhado com 1 furo e 1 compressão - 16 mm²</t>
  </si>
  <si>
    <t>42.05.210</t>
  </si>
  <si>
    <t>42.05.570</t>
  </si>
  <si>
    <t>Conector olhal cabo/haste de 5/8´</t>
  </si>
  <si>
    <t>42.05.160</t>
  </si>
  <si>
    <t>Caixa de inspeção do terra cilíndrica em PVC rígido, diâmetro de 300 mm</t>
  </si>
  <si>
    <t>42.05.320</t>
  </si>
  <si>
    <t>39.04.050</t>
  </si>
  <si>
    <t>13.16</t>
  </si>
  <si>
    <t>13.17</t>
  </si>
  <si>
    <t>13.18</t>
  </si>
  <si>
    <t>13.19</t>
  </si>
  <si>
    <t>13.20</t>
  </si>
  <si>
    <t>Forma em madeira comum para fundação</t>
  </si>
  <si>
    <t>09.01.020</t>
  </si>
  <si>
    <t>3.9</t>
  </si>
  <si>
    <t>39.26.050</t>
  </si>
  <si>
    <t>13.21</t>
  </si>
  <si>
    <t>Cabo de cobre flexível de 10 mm², isolamento 0,6/1 kV - isolação HEPR 90°C - baixa emissão de fumaça e gases (para ligação quadro de destribuição)</t>
  </si>
  <si>
    <t>Cabo de cobre nu, têmpera mole, classe 2, de 16 mm² (aterramento)</t>
  </si>
  <si>
    <t>Haste de aterramento de 5/8'' x 3 m ( aterramento)</t>
  </si>
  <si>
    <t>(6,8+7,33+2,8+2,8+2,1+2,1+1,5+4,76)*2*0,3= 18,11 m² para viga baldrame</t>
  </si>
  <si>
    <t>((6,8+7,33+2,8+2,8+2,1+2,1+1,5+4,76)*0,4*0,3)+(0,65*0,7*0,7*9)= 6,49 m³ para as vigas baldrame e sapatas</t>
  </si>
  <si>
    <t>(0,7*0,7*9*0,03)+(6,8+7,33+2,8+2,8+2,2+2,1+1,5+4,76)*0,4*0,03= 0,50 m³( para sapatas e baldrame)</t>
  </si>
  <si>
    <t>90,54 m para as áreas sem revestimento de parede</t>
  </si>
  <si>
    <t>3,84+1,2+1,6+7,38+3,6+1,98+1,45+0,38+1,9= 23,33 m²</t>
  </si>
  <si>
    <t>PARA CIRCUITOS DO PRÉDIO TODO</t>
  </si>
  <si>
    <t>PARA QDL</t>
  </si>
  <si>
    <t>PARA ATERRAMENTO</t>
  </si>
  <si>
    <t>PARA LIGAÇÃO DO QDL</t>
  </si>
  <si>
    <t>(0,9*2)= 1,80 m ( para proteção de porta)</t>
  </si>
  <si>
    <t>MÊS 9</t>
  </si>
  <si>
    <t>MÊS 10</t>
  </si>
  <si>
    <t>para área de exposição e artesanato</t>
  </si>
  <si>
    <t>Registro de gaveta em latão fundido cromado com canopla, DN= 3/4´ - linha especial</t>
  </si>
  <si>
    <t>47.02.020</t>
  </si>
  <si>
    <t>16.23</t>
  </si>
  <si>
    <t>Registro de gaveta em latão fundido cromado com canopla, DN= 1´ - linha especial</t>
  </si>
  <si>
    <t>47.02.030</t>
  </si>
  <si>
    <t>Caixa de gordura premoldada premoldada com tampa em concreto, 40 x 40 x 35 cm</t>
  </si>
  <si>
    <t>49.03.022</t>
  </si>
  <si>
    <t>15.12</t>
  </si>
  <si>
    <t>CAIXA DE INSPEÇÃO EXTERNA PARA REDE DE ESGOTO</t>
  </si>
  <si>
    <t>41.13.200</t>
  </si>
  <si>
    <t>Luminária blindada oval de sobrepor ou arandela, para lâmpada fluorescentes compacta ( para área externa)</t>
  </si>
  <si>
    <t>41.14.670</t>
  </si>
  <si>
    <t>13.22</t>
  </si>
  <si>
    <t>13.23</t>
  </si>
  <si>
    <t>Luminária triangular de sobrepor tipo arandela para fluorescente compacta de 15/20/23W para área interna</t>
  </si>
  <si>
    <t>PARA ÁREA EXTERNA</t>
  </si>
  <si>
    <t>PARA ÁREA INTERNA</t>
  </si>
  <si>
    <t>44.20.010</t>
  </si>
  <si>
    <t>Sifão plástico sanfonado universal de 1´</t>
  </si>
  <si>
    <t>16.24</t>
  </si>
  <si>
    <t xml:space="preserve">CRONOGRAMA FÍSICO - DESEMBOLSO E APLICAÇÃO DOS RECURSOS </t>
  </si>
  <si>
    <t>MUNICÍPIO:</t>
  </si>
  <si>
    <t>BOLETIM Nº.</t>
  </si>
  <si>
    <t xml:space="preserve">DATA BASE: </t>
  </si>
  <si>
    <t>OBJETO:</t>
  </si>
  <si>
    <t>PROCESSO:</t>
  </si>
  <si>
    <r>
      <t xml:space="preserve">INÍCIO: </t>
    </r>
    <r>
      <rPr>
        <sz val="10"/>
        <rFont val="Calibri"/>
        <family val="2"/>
        <scheme val="minor"/>
      </rPr>
      <t xml:space="preserve"> </t>
    </r>
  </si>
  <si>
    <t xml:space="preserve">180 dias da data da assinatura do convênio </t>
  </si>
  <si>
    <t>CONVÊNIO:</t>
  </si>
  <si>
    <r>
      <t>FINAL:</t>
    </r>
    <r>
      <rPr>
        <b/>
        <u/>
        <sz val="10"/>
        <color rgb="FFFF0000"/>
        <rFont val="Calibri"/>
        <family val="2"/>
        <scheme val="minor"/>
      </rPr>
      <t/>
    </r>
  </si>
  <si>
    <t>1ª   ETAPA</t>
  </si>
  <si>
    <t>PERÍODO</t>
  </si>
  <si>
    <t>dias</t>
  </si>
  <si>
    <t>Licitação:</t>
  </si>
  <si>
    <t>Execução:</t>
  </si>
  <si>
    <t>Vistoria:</t>
  </si>
  <si>
    <t>Encerramento:</t>
  </si>
  <si>
    <t xml:space="preserve">RECURSOS ESTADUAIS </t>
  </si>
  <si>
    <t xml:space="preserve">RECURSOS PRÓPRIOS </t>
  </si>
  <si>
    <t xml:space="preserve">T O T A L  </t>
  </si>
  <si>
    <t>PORCENTAGEM DE SERVIÇOS</t>
  </si>
  <si>
    <t>10.1</t>
  </si>
  <si>
    <t>16.22</t>
  </si>
  <si>
    <t>Espelho em vidro cristal liso, espessura de 4 mm</t>
  </si>
  <si>
    <t>26.04.010</t>
  </si>
  <si>
    <t>PARA CONSTROLE DOS RAMAIS DE ALIMENTAÇÃO DE ÁGUA FRIA</t>
  </si>
  <si>
    <t>Para lavatórios, pia e tanque.</t>
  </si>
  <si>
    <t>PARA ILUMINAÇÃO DOS AMBIENTES</t>
  </si>
  <si>
    <t>10,12+13,77= 23,89 m² (área ampliada)</t>
  </si>
  <si>
    <t xml:space="preserve"> ((6,8+7,33+2,8+2,8+2,1+2,1+1,5+4,76)*2,53)= 76,38 m² (elevação das paredes)</t>
  </si>
  <si>
    <t>133,71 m² para o pisos da área ampliada</t>
  </si>
  <si>
    <t>PARA OS  BOXES DOS SANITÁRIOS COMUNS</t>
  </si>
  <si>
    <t>Broca em concreto armado diâmetro de 25 cm - completa ( nas sapatas e paredes internas)</t>
  </si>
  <si>
    <t>Concreto usinado, fck = 20,0 Mpa (sapatas, baldrame)</t>
  </si>
  <si>
    <t>Lançamento, espalhamento e adensamento de concreto ou massa em lastro e/ou enchimento (sapatas, baldrame)</t>
  </si>
  <si>
    <t>Armadura em barra de aço CA-50 (A ou B) fyk = 500 Mpa (sapatas, baldrame)</t>
  </si>
  <si>
    <t>Armadura em barra de aço CA-60 (A ou B) fyk = 600 Mpa  (sapatas, baldrame)</t>
  </si>
  <si>
    <t xml:space="preserve"> (2+2+1,2+1,2)*0,4= 2,56 m² - para nivelamento do piso</t>
  </si>
  <si>
    <t>(14*3)= 42,00 m (nas sapatas e paredes internas)</t>
  </si>
  <si>
    <t>(0,7*0,7*0,35*9)+((6,8+7,33+2,8+2,8+2,1+2,1+1,5+4,76)*0,2*0,3)= 3,35 m³ (sapatas, baldrame)</t>
  </si>
  <si>
    <t>3,35*80*0,8= 214,40 kg  (sapatas, baldrame)</t>
  </si>
  <si>
    <t>3,35*80*0,2= 53,60 kg (sapatas, baldrame)</t>
  </si>
  <si>
    <t xml:space="preserve">Tinta acrílica para sinalização visual de piso, com acabamento microtexturizado e antiderrapante </t>
  </si>
  <si>
    <t>30.06.050</t>
  </si>
  <si>
    <t>12.6</t>
  </si>
  <si>
    <t>SINALIZAÇÃO DA PLATAFORMA</t>
  </si>
  <si>
    <t>Esmalte à base água em superfície metálica, inclusive preparo (para janelas e portas em aço, pilares metalicos da plataforma)</t>
  </si>
  <si>
    <t xml:space="preserve">(2,2+1,16+3,4+2,41+2,28+0,65+0,91+2,2+0,87+1,6+1,18+3,06+1,15+4,15+1,55+1+2,46+1,4+3,65+1,6+1,41+0,75+1,68+2,25+1,71+2,12+1,79+5,56+(2,48*15)+7,35)= 100,70 m ( alimentação de energia e iluminação dos sanitários novos, fraldário e circulação </t>
  </si>
  <si>
    <t>Dispenser toalheiro em ABS e policarbonato para bobina de 20 cm x 200 m, com alavanca ( para frandario e 2 sanitarios)</t>
  </si>
  <si>
    <t>44.03.010</t>
  </si>
  <si>
    <t>44.03.130</t>
  </si>
  <si>
    <t>Saboneteira tipo dispenser, para refil de 800 ml ( para frandario, banheiros mas e fem e nanheiros pne)</t>
  </si>
  <si>
    <t>16.25</t>
  </si>
  <si>
    <t>3,35+4,33= 7,69 m³ ( sapatas, baldrame  e contrapiso dos ambientes.</t>
  </si>
  <si>
    <t>(86,68*0,05)= 4,33 m³ (contrapiso sanitarios antigos, sanitatios novos, fraldário, circulação sanitários acessiveis+ pavimento externo com largura de 1 m.)</t>
  </si>
  <si>
    <t>(2,59*4)+(0,5*6*2)+(0,45*1,2*3)= 17,98 m² para os sanitários</t>
  </si>
  <si>
    <t xml:space="preserve"> ((((14,71+14,71+7,28)*4,19)+(((7,28*2)*2,36)/2)+((7,33+7,33+6,8)*2,78)) =230,61 m²  ( para área externa)</t>
  </si>
  <si>
    <t>Luminária triangular de sobrepor tipo arandela para fluorescente compacta de 15/20/23W (para área interna)</t>
  </si>
  <si>
    <t>2,92+2,2+2,07+(0,6*3)+1,128+1,4+0,7+1,42+0,96+2,8+2,23+2,7+6+1,37= 29,70 m (para rede hidraulica)</t>
  </si>
  <si>
    <t>( para frandario e 2 sanitarios)</t>
  </si>
  <si>
    <t>( para frandario, banheiros mas e fem e nanheiros pne)</t>
  </si>
  <si>
    <t xml:space="preserve"> ((7,52+1,58+(13,38*0,01)+(13,92*0,5*0,01)+(65,70*0,03)+(40,27*0,015)+(10,26*0,3)+(92,34*0,03))*1,5)= 26,59 m³ ( Demolição manual de alvenaria+demolição mecanizada de concreto simples+retirada de vidro +remoção de calha ou rufo+demolição manual de revestimento+retirada de forro+retirada de cumeeira+demolição de revestimento.)</t>
  </si>
  <si>
    <t>ESTÂNCIA TURÍSTICA DE PARAGUAÇU PAULISTA</t>
  </si>
  <si>
    <t>AMPLIAÇÃO E ADEQUAÇÃO DA ESTAÇÃO FERROVIÁRIA DE SAPEZAL</t>
  </si>
  <si>
    <t>NOVEMBRO DE 2021</t>
  </si>
  <si>
    <t>ST-PRC-2021-00287-DM</t>
  </si>
  <si>
    <t>ALVENARIA E DIVISÓRIAS</t>
  </si>
  <si>
    <t>SINALIZAÇÕES</t>
  </si>
  <si>
    <t>EQUIPAMENTOS DE COMBATE A INCENDIO</t>
  </si>
  <si>
    <t>2,5*0,9*3= 6,75 m²( para sanitário masculino e feminino e fraldário)</t>
  </si>
  <si>
    <t>Dispenser toalheiro em ABS e policarbonato para bobina de 20 cm x 200 m, com alavanca ( para fraldario e 2 sanitarios)</t>
  </si>
  <si>
    <t>MEMÓRIA DE CÁLCULO</t>
  </si>
  <si>
    <t>(14,89+13,55)+(48,49*1,077)= 80,66 m² para a sala maior da estação</t>
  </si>
  <si>
    <t>0,67+0,39+0,6+4,89+0,67-1,02= 6,20 m² (SINALIZAÇAO PISO TÁTIL)</t>
  </si>
  <si>
    <t>Base: CDHU - 183 - Desonerada</t>
  </si>
  <si>
    <t>CDHU 183 - Desonerada</t>
  </si>
  <si>
    <t xml:space="preserve">Resp. Téc.: </t>
  </si>
  <si>
    <t>CONVÊNIO:  269/2021 - DATA: Novembro de 2021</t>
  </si>
</sst>
</file>

<file path=xl/styles.xml><?xml version="1.0" encoding="utf-8"?>
<styleSheet xmlns="http://schemas.openxmlformats.org/spreadsheetml/2006/main">
  <numFmts count="9">
    <numFmt numFmtId="8" formatCode="&quot;R$&quot;\ #,##0.00;[Red]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$-409]* #,##0.00_ ;_-[$$-409]* \-#,##0.00\ ;_-[$$-409]* &quot;-&quot;??_ ;_-@_ "/>
    <numFmt numFmtId="165" formatCode="_-&quot;R$&quot;\ * #,##0.000_-;\-&quot;R$&quot;\ * #,##0.000_-;_-&quot;R$&quot;\ * &quot;-&quot;??_-;_-@_-"/>
    <numFmt numFmtId="166" formatCode="[$R$-416]\ #,##0.00;[Red]\-[$R$-416]\ #,##0.00"/>
    <numFmt numFmtId="167" formatCode="&quot;R$&quot;\ #,##0.00"/>
    <numFmt numFmtId="168" formatCode="&quot; R$ &quot;* #,##0.00\ ;&quot;-R$ &quot;* #,##0.00\ ;&quot; R$ &quot;* \-#\ ;@\ "/>
    <numFmt numFmtId="169" formatCode="_-[$R$-416]\ * #,##0.00_-;\-[$R$-416]\ * #,##0.00_-;_-[$R$-416]\ * &quot;-&quot;??_-;_-@_-"/>
  </numFmts>
  <fonts count="4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4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name val="Arial"/>
      <family val="2"/>
    </font>
    <font>
      <b/>
      <sz val="11"/>
      <name val="Arial"/>
      <family val="2"/>
    </font>
    <font>
      <b/>
      <sz val="13.5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name val="Arial"/>
      <family val="2"/>
      <charset val="1"/>
    </font>
    <font>
      <b/>
      <sz val="13.5"/>
      <color rgb="FF000000"/>
      <name val="Arial"/>
      <family val="2"/>
      <charset val="1"/>
    </font>
    <font>
      <b/>
      <sz val="10"/>
      <color rgb="FF000000"/>
      <name val="Arial"/>
      <family val="2"/>
      <charset val="1"/>
    </font>
    <font>
      <b/>
      <sz val="10"/>
      <name val="Arial"/>
      <family val="2"/>
      <charset val="1"/>
    </font>
    <font>
      <b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Arial"/>
      <family val="2"/>
      <charset val="1"/>
    </font>
    <font>
      <b/>
      <sz val="11"/>
      <name val="Arial"/>
      <family val="2"/>
      <charset val="1"/>
    </font>
    <font>
      <b/>
      <sz val="8"/>
      <name val="Arial"/>
      <family val="2"/>
    </font>
    <font>
      <b/>
      <sz val="9"/>
      <color rgb="FF000000"/>
      <name val="Arial"/>
      <family val="2"/>
      <charset val="1"/>
    </font>
    <font>
      <b/>
      <sz val="9"/>
      <name val="Arial"/>
      <family val="2"/>
      <charset val="1"/>
    </font>
    <font>
      <sz val="10"/>
      <color rgb="FF000000"/>
      <name val="Arial"/>
      <family val="2"/>
      <charset val="1"/>
    </font>
    <font>
      <sz val="10"/>
      <color theme="1"/>
      <name val="Arial"/>
      <family val="2"/>
    </font>
    <font>
      <sz val="10"/>
      <color theme="1"/>
      <name val="Arial"/>
      <family val="2"/>
      <charset val="1"/>
    </font>
    <font>
      <sz val="10"/>
      <color rgb="FF000000"/>
      <name val="Times New Roman"/>
      <family val="1"/>
      <charset val="1"/>
    </font>
    <font>
      <sz val="11"/>
      <name val="Arial"/>
      <family val="2"/>
      <charset val="1"/>
    </font>
    <font>
      <sz val="10"/>
      <name val="MS Sans Serif"/>
      <family val="2"/>
    </font>
    <font>
      <b/>
      <sz val="12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2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sz val="11"/>
      <name val="Calibri"/>
      <family val="2"/>
      <scheme val="minor"/>
    </font>
    <font>
      <sz val="9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6"/>
      <name val="Calibri"/>
      <family val="2"/>
      <scheme val="minor"/>
    </font>
    <font>
      <b/>
      <sz val="8"/>
      <name val="Calibri"/>
      <family val="2"/>
      <scheme val="minor"/>
    </font>
    <font>
      <b/>
      <u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9"/>
      <name val="Calibri"/>
      <family val="2"/>
      <scheme val="minor"/>
    </font>
    <font>
      <b/>
      <u/>
      <sz val="10"/>
      <name val="Calibri"/>
      <family val="2"/>
      <scheme val="minor"/>
    </font>
    <font>
      <sz val="10"/>
      <name val="MS Sans Serif"/>
    </font>
    <font>
      <sz val="1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0F0F0"/>
      </patternFill>
    </fill>
    <fill>
      <patternFill patternType="solid">
        <fgColor rgb="FFD9D9D9"/>
        <bgColor rgb="FFD8D8D8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dotted">
        <color auto="1"/>
      </bottom>
      <diagonal/>
    </border>
    <border>
      <left style="thin">
        <color auto="1"/>
      </left>
      <right/>
      <top style="dotted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</borders>
  <cellStyleXfs count="13">
    <xf numFmtId="0" fontId="0" fillId="0" borderId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1" fillId="0" borderId="0"/>
    <xf numFmtId="9" fontId="11" fillId="0" borderId="0" applyBorder="0" applyProtection="0"/>
    <xf numFmtId="9" fontId="11" fillId="0" borderId="0" applyBorder="0" applyProtection="0"/>
    <xf numFmtId="0" fontId="27" fillId="0" borderId="0"/>
    <xf numFmtId="167" fontId="11" fillId="0" borderId="0" applyBorder="0" applyProtection="0"/>
    <xf numFmtId="43" fontId="6" fillId="0" borderId="0" applyFont="0" applyFill="0" applyBorder="0" applyAlignment="0" applyProtection="0"/>
    <xf numFmtId="0" fontId="27" fillId="0" borderId="0"/>
    <xf numFmtId="44" fontId="27" fillId="0" borderId="0" applyFont="0" applyFill="0" applyBorder="0" applyAlignment="0" applyProtection="0"/>
    <xf numFmtId="0" fontId="42" fillId="0" borderId="0"/>
    <xf numFmtId="44" fontId="42" fillId="0" borderId="0" applyFont="0" applyFill="0" applyBorder="0" applyAlignment="0" applyProtection="0"/>
  </cellStyleXfs>
  <cellXfs count="364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2" borderId="1" xfId="0" applyFont="1" applyFill="1" applyBorder="1"/>
    <xf numFmtId="0" fontId="2" fillId="0" borderId="6" xfId="0" applyFont="1" applyBorder="1" applyAlignment="1"/>
    <xf numFmtId="0" fontId="2" fillId="0" borderId="8" xfId="0" applyFont="1" applyBorder="1" applyAlignment="1"/>
    <xf numFmtId="0" fontId="2" fillId="0" borderId="2" xfId="0" applyFont="1" applyBorder="1" applyAlignment="1"/>
    <xf numFmtId="0" fontId="1" fillId="0" borderId="1" xfId="0" applyFont="1" applyBorder="1" applyAlignment="1">
      <alignment horizontal="center"/>
    </xf>
    <xf numFmtId="0" fontId="3" fillId="2" borderId="1" xfId="0" applyFont="1" applyFill="1" applyBorder="1"/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/>
    </xf>
    <xf numFmtId="0" fontId="1" fillId="2" borderId="1" xfId="0" applyFont="1" applyFill="1" applyBorder="1" applyAlignment="1">
      <alignment horizontal="left"/>
    </xf>
    <xf numFmtId="0" fontId="1" fillId="0" borderId="1" xfId="0" applyFont="1" applyBorder="1" applyAlignment="1">
      <alignment horizontal="left"/>
    </xf>
    <xf numFmtId="0" fontId="3" fillId="2" borderId="1" xfId="0" applyFont="1" applyFill="1" applyBorder="1" applyAlignment="1">
      <alignment horizontal="center"/>
    </xf>
    <xf numFmtId="0" fontId="3" fillId="0" borderId="1" xfId="0" applyFont="1" applyBorder="1"/>
    <xf numFmtId="0" fontId="1" fillId="2" borderId="1" xfId="0" applyFont="1" applyFill="1" applyBorder="1" applyAlignment="1">
      <alignment horizontal="center"/>
    </xf>
    <xf numFmtId="44" fontId="1" fillId="0" borderId="1" xfId="1" applyFont="1" applyBorder="1"/>
    <xf numFmtId="44" fontId="1" fillId="2" borderId="1" xfId="1" applyFont="1" applyFill="1" applyBorder="1"/>
    <xf numFmtId="44" fontId="3" fillId="2" borderId="1" xfId="1" applyFont="1" applyFill="1" applyBorder="1"/>
    <xf numFmtId="2" fontId="1" fillId="0" borderId="1" xfId="0" applyNumberFormat="1" applyFont="1" applyBorder="1" applyAlignment="1">
      <alignment horizontal="center"/>
    </xf>
    <xf numFmtId="2" fontId="3" fillId="2" borderId="1" xfId="0" applyNumberFormat="1" applyFont="1" applyFill="1" applyBorder="1" applyAlignment="1">
      <alignment horizontal="center"/>
    </xf>
    <xf numFmtId="44" fontId="3" fillId="0" borderId="1" xfId="1" applyFont="1" applyBorder="1"/>
    <xf numFmtId="44" fontId="3" fillId="0" borderId="1" xfId="1" applyFont="1" applyBorder="1" applyAlignment="1">
      <alignment horizontal="center"/>
    </xf>
    <xf numFmtId="44" fontId="0" fillId="0" borderId="0" xfId="0" applyNumberFormat="1"/>
    <xf numFmtId="1" fontId="1" fillId="0" borderId="1" xfId="0" applyNumberFormat="1" applyFont="1" applyBorder="1" applyAlignment="1">
      <alignment horizontal="center"/>
    </xf>
    <xf numFmtId="8" fontId="1" fillId="0" borderId="0" xfId="0" applyNumberFormat="1" applyFont="1"/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wrapText="1"/>
    </xf>
    <xf numFmtId="44" fontId="3" fillId="2" borderId="10" xfId="1" applyFont="1" applyFill="1" applyBorder="1"/>
    <xf numFmtId="8" fontId="1" fillId="0" borderId="6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right" wrapText="1"/>
    </xf>
    <xf numFmtId="0" fontId="3" fillId="0" borderId="1" xfId="0" applyFont="1" applyBorder="1" applyAlignment="1">
      <alignment horizontal="right"/>
    </xf>
    <xf numFmtId="0" fontId="8" fillId="0" borderId="1" xfId="0" applyFont="1" applyBorder="1" applyAlignment="1">
      <alignment horizontal="right" wrapText="1"/>
    </xf>
    <xf numFmtId="0" fontId="8" fillId="0" borderId="1" xfId="0" applyFont="1" applyBorder="1" applyAlignment="1">
      <alignment horizontal="right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0" fillId="0" borderId="0" xfId="0" applyFont="1"/>
    <xf numFmtId="2" fontId="1" fillId="0" borderId="11" xfId="0" applyNumberFormat="1" applyFont="1" applyFill="1" applyBorder="1" applyAlignment="1">
      <alignment horizontal="center"/>
    </xf>
    <xf numFmtId="0" fontId="7" fillId="3" borderId="1" xfId="0" applyFont="1" applyFill="1" applyBorder="1" applyAlignment="1">
      <alignment horizontal="left" wrapText="1"/>
    </xf>
    <xf numFmtId="8" fontId="0" fillId="0" borderId="0" xfId="0" applyNumberFormat="1"/>
    <xf numFmtId="44" fontId="0" fillId="0" borderId="0" xfId="1" applyFont="1"/>
    <xf numFmtId="2" fontId="1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/>
    </xf>
    <xf numFmtId="0" fontId="1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left" wrapText="1"/>
    </xf>
    <xf numFmtId="44" fontId="1" fillId="0" borderId="1" xfId="1" applyFont="1" applyFill="1" applyBorder="1"/>
    <xf numFmtId="0" fontId="0" fillId="0" borderId="0" xfId="0" applyFill="1"/>
    <xf numFmtId="0" fontId="7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44" fontId="0" fillId="0" borderId="0" xfId="0" applyNumberFormat="1" applyFill="1"/>
    <xf numFmtId="0" fontId="10" fillId="0" borderId="0" xfId="0" applyFont="1" applyFill="1"/>
    <xf numFmtId="0" fontId="1" fillId="0" borderId="1" xfId="0" applyFont="1" applyFill="1" applyBorder="1" applyAlignment="1">
      <alignment wrapText="1"/>
    </xf>
    <xf numFmtId="0" fontId="7" fillId="0" borderId="1" xfId="0" applyFont="1" applyFill="1" applyBorder="1" applyAlignment="1">
      <alignment horizontal="left"/>
    </xf>
    <xf numFmtId="44" fontId="0" fillId="0" borderId="0" xfId="1" applyFont="1" applyFill="1"/>
    <xf numFmtId="164" fontId="0" fillId="0" borderId="0" xfId="0" applyNumberFormat="1" applyFill="1"/>
    <xf numFmtId="165" fontId="0" fillId="0" borderId="0" xfId="1" applyNumberFormat="1" applyFont="1" applyFill="1"/>
    <xf numFmtId="0" fontId="1" fillId="0" borderId="1" xfId="0" applyFont="1" applyFill="1" applyBorder="1"/>
    <xf numFmtId="9" fontId="8" fillId="0" borderId="1" xfId="2" applyNumberFormat="1" applyFont="1" applyBorder="1" applyAlignment="1">
      <alignment horizontal="center"/>
    </xf>
    <xf numFmtId="10" fontId="1" fillId="0" borderId="1" xfId="0" applyNumberFormat="1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2" fontId="1" fillId="0" borderId="1" xfId="0" applyNumberFormat="1" applyFont="1" applyFill="1" applyBorder="1" applyAlignment="1">
      <alignment horizontal="center" wrapText="1"/>
    </xf>
    <xf numFmtId="0" fontId="0" fillId="0" borderId="0" xfId="0" applyFill="1" applyAlignment="1">
      <alignment wrapText="1"/>
    </xf>
    <xf numFmtId="44" fontId="3" fillId="2" borderId="10" xfId="1" applyFont="1" applyFill="1" applyBorder="1" applyAlignment="1"/>
    <xf numFmtId="44" fontId="3" fillId="2" borderId="12" xfId="1" applyFont="1" applyFill="1" applyBorder="1" applyAlignment="1"/>
    <xf numFmtId="0" fontId="3" fillId="0" borderId="1" xfId="0" applyFont="1" applyFill="1" applyBorder="1"/>
    <xf numFmtId="0" fontId="13" fillId="0" borderId="6" xfId="3" applyFont="1" applyBorder="1" applyAlignment="1"/>
    <xf numFmtId="0" fontId="13" fillId="0" borderId="0" xfId="3" applyFont="1" applyBorder="1" applyAlignment="1"/>
    <xf numFmtId="0" fontId="13" fillId="0" borderId="7" xfId="3" applyFont="1" applyBorder="1" applyAlignment="1"/>
    <xf numFmtId="0" fontId="11" fillId="5" borderId="3" xfId="3" applyFill="1" applyBorder="1" applyAlignment="1">
      <alignment horizontal="left" vertical="top" wrapText="1"/>
    </xf>
    <xf numFmtId="0" fontId="11" fillId="5" borderId="4" xfId="3" applyFill="1" applyBorder="1" applyAlignment="1">
      <alignment horizontal="left" vertical="top" wrapText="1"/>
    </xf>
    <xf numFmtId="0" fontId="15" fillId="5" borderId="5" xfId="3" applyFont="1" applyFill="1" applyBorder="1" applyAlignment="1">
      <alignment horizontal="right" vertical="top" wrapText="1"/>
    </xf>
    <xf numFmtId="0" fontId="15" fillId="5" borderId="14" xfId="3" applyFont="1" applyFill="1" applyBorder="1" applyAlignment="1">
      <alignment horizontal="center" vertical="top" wrapText="1"/>
    </xf>
    <xf numFmtId="0" fontId="16" fillId="5" borderId="15" xfId="3" applyFont="1" applyFill="1" applyBorder="1" applyAlignment="1">
      <alignment horizontal="right" vertical="top" wrapText="1"/>
    </xf>
    <xf numFmtId="1" fontId="17" fillId="5" borderId="15" xfId="3" applyNumberFormat="1" applyFont="1" applyFill="1" applyBorder="1" applyAlignment="1">
      <alignment horizontal="right" vertical="top" wrapText="1"/>
    </xf>
    <xf numFmtId="10" fontId="11" fillId="5" borderId="5" xfId="3" applyNumberFormat="1" applyFont="1" applyFill="1" applyBorder="1" applyAlignment="1">
      <alignment horizontal="center" vertical="top" wrapText="1"/>
    </xf>
    <xf numFmtId="10" fontId="11" fillId="5" borderId="14" xfId="3" applyNumberFormat="1" applyFont="1" applyFill="1" applyBorder="1" applyAlignment="1">
      <alignment horizontal="center" vertical="top" wrapText="1"/>
    </xf>
    <xf numFmtId="10" fontId="20" fillId="4" borderId="14" xfId="3" applyNumberFormat="1" applyFont="1" applyFill="1" applyBorder="1" applyAlignment="1">
      <alignment horizontal="right" vertical="top" wrapText="1"/>
    </xf>
    <xf numFmtId="166" fontId="11" fillId="0" borderId="9" xfId="3" applyNumberFormat="1" applyFont="1" applyBorder="1" applyAlignment="1" applyProtection="1">
      <alignment horizontal="center" vertical="top" wrapText="1"/>
    </xf>
    <xf numFmtId="166" fontId="11" fillId="0" borderId="15" xfId="3" applyNumberFormat="1" applyFont="1" applyBorder="1" applyAlignment="1" applyProtection="1">
      <alignment horizontal="center" vertical="top" wrapText="1"/>
    </xf>
    <xf numFmtId="0" fontId="11" fillId="0" borderId="15" xfId="3" applyFont="1" applyBorder="1" applyAlignment="1" applyProtection="1">
      <alignment horizontal="center" vertical="top" wrapText="1"/>
    </xf>
    <xf numFmtId="166" fontId="21" fillId="4" borderId="15" xfId="3" applyNumberFormat="1" applyFont="1" applyFill="1" applyBorder="1" applyAlignment="1" applyProtection="1">
      <alignment horizontal="right" vertical="top" wrapText="1"/>
    </xf>
    <xf numFmtId="0" fontId="11" fillId="0" borderId="9" xfId="3" applyFont="1" applyBorder="1" applyAlignment="1" applyProtection="1">
      <alignment horizontal="center" vertical="top" wrapText="1"/>
    </xf>
    <xf numFmtId="167" fontId="11" fillId="0" borderId="15" xfId="3" applyNumberFormat="1" applyFont="1" applyBorder="1" applyAlignment="1" applyProtection="1">
      <alignment horizontal="center" vertical="top" wrapText="1"/>
    </xf>
    <xf numFmtId="0" fontId="11" fillId="4" borderId="9" xfId="3" applyFont="1" applyFill="1" applyBorder="1" applyAlignment="1" applyProtection="1">
      <alignment horizontal="center" vertical="top" wrapText="1"/>
    </xf>
    <xf numFmtId="0" fontId="11" fillId="4" borderId="15" xfId="3" applyFont="1" applyFill="1" applyBorder="1" applyAlignment="1" applyProtection="1">
      <alignment horizontal="center" vertical="top" wrapText="1"/>
    </xf>
    <xf numFmtId="166" fontId="11" fillId="4" borderId="9" xfId="3" applyNumberFormat="1" applyFont="1" applyFill="1" applyBorder="1" applyAlignment="1" applyProtection="1">
      <alignment horizontal="center" vertical="top" wrapText="1"/>
    </xf>
    <xf numFmtId="166" fontId="11" fillId="2" borderId="7" xfId="3" applyNumberFormat="1" applyFont="1" applyFill="1" applyBorder="1" applyAlignment="1" applyProtection="1">
      <alignment horizontal="center" vertical="top" wrapText="1"/>
    </xf>
    <xf numFmtId="166" fontId="11" fillId="2" borderId="11" xfId="3" applyNumberFormat="1" applyFont="1" applyFill="1" applyBorder="1" applyAlignment="1" applyProtection="1">
      <alignment horizontal="center" vertical="top" wrapText="1"/>
    </xf>
    <xf numFmtId="10" fontId="11" fillId="2" borderId="11" xfId="3" applyNumberFormat="1" applyFont="1" applyFill="1" applyBorder="1" applyAlignment="1" applyProtection="1">
      <alignment horizontal="center" vertical="top" wrapText="1"/>
    </xf>
    <xf numFmtId="10" fontId="21" fillId="4" borderId="11" xfId="3" applyNumberFormat="1" applyFont="1" applyFill="1" applyBorder="1" applyAlignment="1" applyProtection="1">
      <alignment horizontal="right" vertical="top" wrapText="1"/>
    </xf>
    <xf numFmtId="166" fontId="11" fillId="0" borderId="7" xfId="3" applyNumberFormat="1" applyFont="1" applyBorder="1" applyAlignment="1" applyProtection="1">
      <alignment horizontal="center" vertical="top" wrapText="1"/>
    </xf>
    <xf numFmtId="166" fontId="11" fillId="0" borderId="11" xfId="3" applyNumberFormat="1" applyFont="1" applyBorder="1" applyAlignment="1" applyProtection="1">
      <alignment horizontal="center" vertical="top" wrapText="1"/>
    </xf>
    <xf numFmtId="166" fontId="21" fillId="4" borderId="11" xfId="3" applyNumberFormat="1" applyFont="1" applyFill="1" applyBorder="1" applyAlignment="1" applyProtection="1">
      <alignment horizontal="right" vertical="top" wrapText="1"/>
    </xf>
    <xf numFmtId="10" fontId="22" fillId="4" borderId="12" xfId="3" applyNumberFormat="1" applyFont="1" applyFill="1" applyBorder="1" applyAlignment="1">
      <alignment horizontal="center" vertical="top" wrapText="1"/>
    </xf>
    <xf numFmtId="10" fontId="23" fillId="4" borderId="12" xfId="3" applyNumberFormat="1" applyFont="1" applyFill="1" applyBorder="1" applyAlignment="1">
      <alignment horizontal="center" vertical="top" wrapText="1"/>
    </xf>
    <xf numFmtId="10" fontId="24" fillId="4" borderId="12" xfId="3" applyNumberFormat="1" applyFont="1" applyFill="1" applyBorder="1" applyAlignment="1">
      <alignment horizontal="center" vertical="top" wrapText="1"/>
    </xf>
    <xf numFmtId="166" fontId="22" fillId="4" borderId="1" xfId="3" applyNumberFormat="1" applyFont="1" applyFill="1" applyBorder="1" applyAlignment="1" applyProtection="1">
      <alignment horizontal="center" vertical="top" wrapText="1"/>
    </xf>
    <xf numFmtId="166" fontId="23" fillId="4" borderId="1" xfId="3" applyNumberFormat="1" applyFont="1" applyFill="1" applyBorder="1" applyAlignment="1" applyProtection="1">
      <alignment horizontal="center" vertical="top" wrapText="1"/>
    </xf>
    <xf numFmtId="166" fontId="24" fillId="4" borderId="1" xfId="3" applyNumberFormat="1" applyFont="1" applyFill="1" applyBorder="1" applyAlignment="1" applyProtection="1">
      <alignment horizontal="center" vertical="top" wrapText="1"/>
    </xf>
    <xf numFmtId="167" fontId="24" fillId="4" borderId="1" xfId="3" applyNumberFormat="1" applyFont="1" applyFill="1" applyBorder="1" applyAlignment="1" applyProtection="1">
      <alignment horizontal="center" vertical="top" wrapText="1"/>
    </xf>
    <xf numFmtId="166" fontId="20" fillId="4" borderId="1" xfId="3" applyNumberFormat="1" applyFont="1" applyFill="1" applyBorder="1" applyAlignment="1" applyProtection="1">
      <alignment horizontal="right" vertical="top" wrapText="1"/>
    </xf>
    <xf numFmtId="0" fontId="11" fillId="4" borderId="3" xfId="3" applyFill="1" applyBorder="1" applyAlignment="1">
      <alignment horizontal="left" vertical="top" wrapText="1"/>
    </xf>
    <xf numFmtId="0" fontId="11" fillId="4" borderId="4" xfId="3" applyFill="1" applyBorder="1" applyAlignment="1">
      <alignment horizontal="left" vertical="top" wrapText="1"/>
    </xf>
    <xf numFmtId="0" fontId="11" fillId="4" borderId="5" xfId="3" applyFill="1" applyBorder="1" applyAlignment="1">
      <alignment horizontal="left" vertical="top" wrapText="1"/>
    </xf>
    <xf numFmtId="0" fontId="11" fillId="0" borderId="6" xfId="3" applyFont="1" applyBorder="1" applyAlignment="1"/>
    <xf numFmtId="0" fontId="11" fillId="0" borderId="0" xfId="3" applyFont="1" applyBorder="1" applyAlignment="1"/>
    <xf numFmtId="0" fontId="11" fillId="0" borderId="8" xfId="3" applyFont="1" applyBorder="1" applyAlignment="1">
      <alignment vertical="top" wrapText="1"/>
    </xf>
    <xf numFmtId="0" fontId="11" fillId="0" borderId="2" xfId="3" applyFont="1" applyBorder="1" applyAlignment="1">
      <alignment vertical="top" wrapText="1"/>
    </xf>
    <xf numFmtId="0" fontId="11" fillId="0" borderId="0" xfId="3"/>
    <xf numFmtId="166" fontId="11" fillId="0" borderId="0" xfId="3" applyNumberFormat="1"/>
    <xf numFmtId="10" fontId="25" fillId="0" borderId="0" xfId="5" applyNumberFormat="1" applyFont="1" applyBorder="1" applyAlignment="1" applyProtection="1">
      <alignment horizontal="left" vertical="top"/>
    </xf>
    <xf numFmtId="168" fontId="11" fillId="0" borderId="0" xfId="3" applyNumberFormat="1" applyBorder="1" applyAlignment="1">
      <alignment horizontal="left" vertical="top"/>
    </xf>
    <xf numFmtId="0" fontId="7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44" fontId="11" fillId="0" borderId="15" xfId="1" applyFont="1" applyBorder="1" applyAlignment="1" applyProtection="1">
      <alignment horizontal="center" vertical="top" wrapText="1"/>
    </xf>
    <xf numFmtId="44" fontId="11" fillId="0" borderId="0" xfId="1" applyFont="1"/>
    <xf numFmtId="9" fontId="20" fillId="4" borderId="1" xfId="2" applyFont="1" applyFill="1" applyBorder="1" applyAlignment="1" applyProtection="1">
      <alignment horizontal="right" vertical="top" wrapText="1"/>
    </xf>
    <xf numFmtId="10" fontId="11" fillId="5" borderId="3" xfId="3" applyNumberFormat="1" applyFont="1" applyFill="1" applyBorder="1" applyAlignment="1">
      <alignment horizontal="center" vertical="top" wrapText="1"/>
    </xf>
    <xf numFmtId="167" fontId="11" fillId="0" borderId="8" xfId="3" applyNumberFormat="1" applyFont="1" applyBorder="1" applyAlignment="1" applyProtection="1">
      <alignment horizontal="center" vertical="top" wrapText="1"/>
    </xf>
    <xf numFmtId="10" fontId="20" fillId="4" borderId="11" xfId="3" applyNumberFormat="1" applyFont="1" applyFill="1" applyBorder="1" applyAlignment="1">
      <alignment horizontal="right" vertical="top" wrapText="1"/>
    </xf>
    <xf numFmtId="0" fontId="11" fillId="0" borderId="0" xfId="3" applyBorder="1"/>
    <xf numFmtId="0" fontId="1" fillId="0" borderId="0" xfId="0" applyFont="1" applyFill="1" applyAlignment="1">
      <alignment horizontal="center"/>
    </xf>
    <xf numFmtId="0" fontId="1" fillId="0" borderId="1" xfId="0" applyFont="1" applyFill="1" applyBorder="1" applyAlignment="1">
      <alignment horizontal="left" vertical="top" wrapText="1"/>
    </xf>
    <xf numFmtId="2" fontId="0" fillId="0" borderId="0" xfId="0" applyNumberFormat="1" applyFill="1"/>
    <xf numFmtId="2" fontId="0" fillId="0" borderId="0" xfId="0" applyNumberFormat="1" applyFill="1" applyAlignment="1">
      <alignment horizontal="left" indent="2"/>
    </xf>
    <xf numFmtId="0" fontId="3" fillId="0" borderId="1" xfId="0" applyFont="1" applyFill="1" applyBorder="1" applyAlignment="1">
      <alignment horizontal="right"/>
    </xf>
    <xf numFmtId="44" fontId="3" fillId="0" borderId="1" xfId="1" applyFont="1" applyFill="1" applyBorder="1"/>
    <xf numFmtId="2" fontId="7" fillId="0" borderId="1" xfId="0" applyNumberFormat="1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0" fontId="15" fillId="5" borderId="14" xfId="3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right" wrapText="1"/>
    </xf>
    <xf numFmtId="0" fontId="8" fillId="0" borderId="1" xfId="0" applyFont="1" applyFill="1" applyBorder="1" applyAlignment="1">
      <alignment horizontal="right"/>
    </xf>
    <xf numFmtId="1" fontId="1" fillId="0" borderId="1" xfId="0" applyNumberFormat="1" applyFont="1" applyFill="1" applyBorder="1" applyAlignment="1">
      <alignment horizontal="center"/>
    </xf>
    <xf numFmtId="167" fontId="11" fillId="0" borderId="11" xfId="3" applyNumberFormat="1" applyFont="1" applyBorder="1" applyAlignment="1" applyProtection="1">
      <alignment horizontal="center" vertical="top" wrapText="1"/>
    </xf>
    <xf numFmtId="10" fontId="11" fillId="5" borderId="11" xfId="3" applyNumberFormat="1" applyFont="1" applyFill="1" applyBorder="1" applyAlignment="1">
      <alignment horizontal="center" vertical="top" wrapText="1"/>
    </xf>
    <xf numFmtId="2" fontId="11" fillId="0" borderId="0" xfId="3" applyNumberFormat="1"/>
    <xf numFmtId="2" fontId="11" fillId="0" borderId="0" xfId="3" applyNumberFormat="1" applyBorder="1" applyAlignment="1">
      <alignment horizontal="left" vertical="top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center" vertical="center"/>
    </xf>
    <xf numFmtId="0" fontId="31" fillId="0" borderId="13" xfId="6" applyFont="1" applyBorder="1" applyAlignment="1" applyProtection="1">
      <alignment horizontal="center" vertical="center" wrapText="1"/>
      <protection hidden="1"/>
    </xf>
    <xf numFmtId="0" fontId="35" fillId="0" borderId="0" xfId="6" applyFont="1" applyBorder="1" applyAlignment="1" applyProtection="1">
      <alignment horizontal="center" vertical="center" wrapText="1"/>
    </xf>
    <xf numFmtId="0" fontId="35" fillId="0" borderId="0" xfId="6" applyFont="1" applyBorder="1" applyAlignment="1" applyProtection="1">
      <alignment horizontal="center" vertical="center" wrapText="1"/>
      <protection locked="0"/>
    </xf>
    <xf numFmtId="0" fontId="34" fillId="0" borderId="7" xfId="6" applyFont="1" applyBorder="1" applyAlignment="1" applyProtection="1">
      <alignment horizontal="center" vertical="center" wrapText="1"/>
    </xf>
    <xf numFmtId="0" fontId="35" fillId="0" borderId="7" xfId="6" applyFont="1" applyBorder="1" applyAlignment="1" applyProtection="1">
      <alignment horizontal="center" vertical="center" wrapText="1"/>
    </xf>
    <xf numFmtId="0" fontId="35" fillId="0" borderId="2" xfId="6" applyFont="1" applyBorder="1" applyAlignment="1" applyProtection="1">
      <alignment horizontal="center" vertical="center" wrapText="1"/>
    </xf>
    <xf numFmtId="0" fontId="35" fillId="0" borderId="9" xfId="6" applyFont="1" applyBorder="1" applyAlignment="1" applyProtection="1">
      <alignment horizontal="center" vertical="center" wrapText="1"/>
    </xf>
    <xf numFmtId="10" fontId="32" fillId="0" borderId="28" xfId="2" applyNumberFormat="1" applyFont="1" applyBorder="1" applyAlignment="1" applyProtection="1">
      <alignment vertical="center" wrapText="1"/>
      <protection hidden="1"/>
    </xf>
    <xf numFmtId="10" fontId="32" fillId="0" borderId="30" xfId="2" applyNumberFormat="1" applyFont="1" applyBorder="1" applyAlignment="1" applyProtection="1">
      <alignment horizontal="center" vertical="center" wrapText="1"/>
      <protection hidden="1"/>
    </xf>
    <xf numFmtId="0" fontId="0" fillId="3" borderId="0" xfId="0" applyFill="1" applyBorder="1" applyAlignment="1" applyProtection="1">
      <alignment vertical="center"/>
    </xf>
    <xf numFmtId="0" fontId="0" fillId="3" borderId="0" xfId="0" applyFill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6" xfId="0" applyBorder="1" applyAlignment="1" applyProtection="1">
      <alignment vertical="center"/>
    </xf>
    <xf numFmtId="0" fontId="0" fillId="0" borderId="7" xfId="0" applyBorder="1" applyAlignment="1" applyProtection="1">
      <alignment vertical="center"/>
    </xf>
    <xf numFmtId="0" fontId="0" fillId="0" borderId="8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42" fillId="0" borderId="0" xfId="11" applyAlignment="1" applyProtection="1">
      <alignment vertical="center"/>
    </xf>
    <xf numFmtId="0" fontId="42" fillId="3" borderId="0" xfId="11" applyFill="1" applyBorder="1" applyAlignment="1" applyProtection="1">
      <alignment vertical="center"/>
    </xf>
    <xf numFmtId="0" fontId="42" fillId="3" borderId="0" xfId="11" applyFill="1" applyAlignment="1" applyProtection="1">
      <alignment vertical="center"/>
    </xf>
    <xf numFmtId="0" fontId="30" fillId="0" borderId="0" xfId="11" applyFont="1" applyAlignment="1" applyProtection="1">
      <alignment horizontal="center" vertical="center"/>
    </xf>
    <xf numFmtId="0" fontId="30" fillId="3" borderId="0" xfId="11" applyFont="1" applyFill="1" applyBorder="1" applyAlignment="1" applyProtection="1">
      <alignment horizontal="center" vertical="center"/>
    </xf>
    <xf numFmtId="0" fontId="30" fillId="3" borderId="0" xfId="11" applyFont="1" applyFill="1" applyAlignment="1" applyProtection="1">
      <alignment horizontal="center" vertical="center"/>
    </xf>
    <xf numFmtId="0" fontId="42" fillId="0" borderId="6" xfId="11" applyBorder="1" applyAlignment="1" applyProtection="1">
      <alignment vertical="center"/>
    </xf>
    <xf numFmtId="0" fontId="42" fillId="0" borderId="0" xfId="11" applyBorder="1" applyAlignment="1" applyProtection="1">
      <alignment vertical="center"/>
    </xf>
    <xf numFmtId="49" fontId="33" fillId="0" borderId="1" xfId="11" applyNumberFormat="1" applyFont="1" applyBorder="1" applyAlignment="1" applyProtection="1">
      <alignment vertical="center" wrapText="1"/>
      <protection locked="0"/>
    </xf>
    <xf numFmtId="0" fontId="32" fillId="0" borderId="0" xfId="11" applyFont="1" applyBorder="1" applyAlignment="1" applyProtection="1">
      <alignment vertical="center"/>
    </xf>
    <xf numFmtId="0" fontId="31" fillId="0" borderId="0" xfId="11" applyFont="1" applyBorder="1" applyAlignment="1" applyProtection="1">
      <alignment vertical="center"/>
    </xf>
    <xf numFmtId="0" fontId="31" fillId="2" borderId="1" xfId="11" applyFont="1" applyFill="1" applyBorder="1" applyAlignment="1" applyProtection="1">
      <alignment horizontal="center" vertical="center"/>
    </xf>
    <xf numFmtId="0" fontId="31" fillId="0" borderId="0" xfId="11" applyFont="1" applyBorder="1" applyAlignment="1" applyProtection="1">
      <alignment horizontal="centerContinuous" vertical="center"/>
    </xf>
    <xf numFmtId="49" fontId="40" fillId="0" borderId="1" xfId="11" applyNumberFormat="1" applyFont="1" applyBorder="1" applyAlignment="1" applyProtection="1">
      <alignment vertical="center" wrapText="1"/>
      <protection locked="0"/>
    </xf>
    <xf numFmtId="14" fontId="31" fillId="0" borderId="2" xfId="11" applyNumberFormat="1" applyFont="1" applyBorder="1" applyAlignment="1" applyProtection="1">
      <alignment vertical="center"/>
    </xf>
    <xf numFmtId="14" fontId="37" fillId="0" borderId="1" xfId="11" applyNumberFormat="1" applyFont="1" applyBorder="1" applyAlignment="1" applyProtection="1">
      <alignment horizontal="center" vertical="center" wrapText="1"/>
      <protection locked="0"/>
    </xf>
    <xf numFmtId="0" fontId="36" fillId="0" borderId="0" xfId="11" applyFont="1" applyBorder="1" applyAlignment="1" applyProtection="1">
      <alignment horizontal="left" vertical="center"/>
    </xf>
    <xf numFmtId="49" fontId="31" fillId="0" borderId="1" xfId="11" applyNumberFormat="1" applyFont="1" applyBorder="1" applyAlignment="1" applyProtection="1">
      <alignment vertical="center" wrapText="1"/>
      <protection locked="0"/>
    </xf>
    <xf numFmtId="49" fontId="32" fillId="0" borderId="1" xfId="11" applyNumberFormat="1" applyFont="1" applyBorder="1" applyAlignment="1" applyProtection="1">
      <alignment vertical="center" wrapText="1"/>
      <protection locked="0"/>
    </xf>
    <xf numFmtId="0" fontId="32" fillId="0" borderId="0" xfId="11" applyFont="1" applyBorder="1" applyAlignment="1" applyProtection="1">
      <alignment horizontal="center" vertical="center"/>
    </xf>
    <xf numFmtId="0" fontId="42" fillId="0" borderId="7" xfId="11" applyBorder="1" applyAlignment="1" applyProtection="1">
      <alignment vertical="center"/>
    </xf>
    <xf numFmtId="0" fontId="31" fillId="2" borderId="11" xfId="11" applyFont="1" applyFill="1" applyBorder="1" applyAlignment="1" applyProtection="1">
      <alignment horizontal="center" vertical="center" textRotation="90"/>
    </xf>
    <xf numFmtId="0" fontId="31" fillId="2" borderId="6" xfId="11" applyFont="1" applyFill="1" applyBorder="1" applyAlignment="1" applyProtection="1">
      <alignment horizontal="center" vertical="center"/>
    </xf>
    <xf numFmtId="0" fontId="31" fillId="2" borderId="7" xfId="11" applyFont="1" applyFill="1" applyBorder="1" applyAlignment="1" applyProtection="1">
      <alignment horizontal="center" vertical="center"/>
    </xf>
    <xf numFmtId="0" fontId="31" fillId="2" borderId="0" xfId="11" applyFont="1" applyFill="1" applyBorder="1" applyAlignment="1" applyProtection="1">
      <alignment horizontal="center" vertical="center" textRotation="90"/>
    </xf>
    <xf numFmtId="4" fontId="31" fillId="2" borderId="7" xfId="11" applyNumberFormat="1" applyFont="1" applyFill="1" applyBorder="1" applyAlignment="1" applyProtection="1">
      <alignment horizontal="center" vertical="center"/>
    </xf>
    <xf numFmtId="0" fontId="32" fillId="0" borderId="31" xfId="11" applyFont="1" applyBorder="1" applyAlignment="1" applyProtection="1">
      <alignment horizontal="center" vertical="center"/>
    </xf>
    <xf numFmtId="10" fontId="32" fillId="0" borderId="36" xfId="2" applyNumberFormat="1" applyFont="1" applyBorder="1" applyAlignment="1" applyProtection="1">
      <alignment vertical="center" wrapText="1"/>
      <protection hidden="1"/>
    </xf>
    <xf numFmtId="0" fontId="32" fillId="0" borderId="9" xfId="11" applyFont="1" applyBorder="1" applyAlignment="1" applyProtection="1">
      <alignment horizontal="center" vertical="center"/>
    </xf>
    <xf numFmtId="169" fontId="32" fillId="0" borderId="35" xfId="1" applyNumberFormat="1" applyFont="1" applyBorder="1" applyAlignment="1" applyProtection="1">
      <alignment horizontal="center" vertical="center" wrapText="1"/>
      <protection hidden="1"/>
    </xf>
    <xf numFmtId="0" fontId="0" fillId="0" borderId="0" xfId="0" applyAlignment="1" applyProtection="1">
      <alignment vertical="center" wrapText="1"/>
    </xf>
    <xf numFmtId="4" fontId="31" fillId="1" borderId="14" xfId="11" applyNumberFormat="1" applyFont="1" applyFill="1" applyBorder="1" applyAlignment="1" applyProtection="1">
      <alignment horizontal="center" vertical="center"/>
    </xf>
    <xf numFmtId="0" fontId="32" fillId="3" borderId="0" xfId="11" applyFont="1" applyFill="1" applyBorder="1" applyAlignment="1" applyProtection="1">
      <alignment horizontal="center" vertical="center"/>
    </xf>
    <xf numFmtId="44" fontId="43" fillId="0" borderId="30" xfId="1" applyFont="1" applyFill="1" applyBorder="1" applyAlignment="1" applyProtection="1">
      <alignment horizontal="center" vertical="center" wrapText="1"/>
      <protection hidden="1"/>
    </xf>
    <xf numFmtId="44" fontId="33" fillId="0" borderId="30" xfId="1" applyFont="1" applyFill="1" applyBorder="1" applyAlignment="1" applyProtection="1">
      <alignment horizontal="center" vertical="center" wrapText="1"/>
      <protection hidden="1"/>
    </xf>
    <xf numFmtId="10" fontId="33" fillId="0" borderId="1" xfId="2" applyNumberFormat="1" applyFont="1" applyBorder="1" applyAlignment="1" applyProtection="1">
      <alignment horizontal="center" vertical="center" wrapText="1"/>
      <protection hidden="1"/>
    </xf>
    <xf numFmtId="0" fontId="31" fillId="3" borderId="0" xfId="11" applyFont="1" applyFill="1" applyBorder="1" applyAlignment="1" applyProtection="1">
      <alignment horizontal="right" vertical="center"/>
    </xf>
    <xf numFmtId="169" fontId="32" fillId="0" borderId="0" xfId="12" applyNumberFormat="1" applyFont="1" applyBorder="1" applyAlignment="1" applyProtection="1">
      <alignment horizontal="center" vertical="center"/>
    </xf>
    <xf numFmtId="169" fontId="32" fillId="0" borderId="7" xfId="12" applyNumberFormat="1" applyFont="1" applyBorder="1" applyAlignment="1" applyProtection="1">
      <alignment horizontal="center" vertical="center"/>
    </xf>
    <xf numFmtId="0" fontId="31" fillId="0" borderId="6" xfId="11" applyNumberFormat="1" applyFont="1" applyBorder="1" applyAlignment="1" applyProtection="1">
      <alignment vertical="center" wrapText="1"/>
    </xf>
    <xf numFmtId="0" fontId="31" fillId="0" borderId="0" xfId="11" applyNumberFormat="1" applyFont="1" applyBorder="1" applyAlignment="1" applyProtection="1">
      <alignment vertical="center" wrapText="1"/>
    </xf>
    <xf numFmtId="0" fontId="32" fillId="0" borderId="6" xfId="11" applyNumberFormat="1" applyFont="1" applyBorder="1" applyAlignment="1" applyProtection="1">
      <alignment vertical="center" wrapText="1"/>
    </xf>
    <xf numFmtId="0" fontId="32" fillId="0" borderId="0" xfId="11" applyNumberFormat="1" applyFont="1" applyBorder="1" applyAlignment="1" applyProtection="1">
      <alignment vertical="center" wrapText="1"/>
    </xf>
    <xf numFmtId="0" fontId="42" fillId="0" borderId="0" xfId="11" applyBorder="1" applyAlignment="1" applyProtection="1">
      <alignment horizontal="left" vertical="center"/>
    </xf>
    <xf numFmtId="0" fontId="42" fillId="0" borderId="7" xfId="11" applyBorder="1" applyAlignment="1" applyProtection="1">
      <alignment horizontal="left" vertical="center"/>
    </xf>
    <xf numFmtId="9" fontId="11" fillId="2" borderId="11" xfId="2" applyFont="1" applyFill="1" applyBorder="1" applyAlignment="1" applyProtection="1">
      <alignment horizontal="center" vertical="top" wrapText="1"/>
    </xf>
    <xf numFmtId="44" fontId="3" fillId="2" borderId="10" xfId="1" applyFont="1" applyFill="1" applyBorder="1" applyAlignment="1">
      <alignment horizontal="center"/>
    </xf>
    <xf numFmtId="44" fontId="3" fillId="2" borderId="12" xfId="1" applyFont="1" applyFill="1" applyBorder="1" applyAlignment="1">
      <alignment horizontal="center"/>
    </xf>
    <xf numFmtId="0" fontId="1" fillId="0" borderId="10" xfId="1" applyNumberFormat="1" applyFont="1" applyFill="1" applyBorder="1" applyAlignment="1">
      <alignment horizontal="center" wrapText="1"/>
    </xf>
    <xf numFmtId="0" fontId="1" fillId="0" borderId="12" xfId="1" applyNumberFormat="1" applyFont="1" applyFill="1" applyBorder="1" applyAlignment="1">
      <alignment horizontal="center" wrapText="1"/>
    </xf>
    <xf numFmtId="44" fontId="1" fillId="0" borderId="10" xfId="1" applyFont="1" applyBorder="1" applyAlignment="1">
      <alignment horizontal="center"/>
    </xf>
    <xf numFmtId="44" fontId="1" fillId="0" borderId="12" xfId="1" applyFont="1" applyBorder="1" applyAlignment="1">
      <alignment horizontal="center"/>
    </xf>
    <xf numFmtId="0" fontId="1" fillId="0" borderId="10" xfId="1" applyNumberFormat="1" applyFont="1" applyFill="1" applyBorder="1" applyAlignment="1">
      <alignment horizontal="center"/>
    </xf>
    <xf numFmtId="0" fontId="1" fillId="0" borderId="12" xfId="1" applyNumberFormat="1" applyFont="1" applyFill="1" applyBorder="1" applyAlignment="1">
      <alignment horizontal="center"/>
    </xf>
    <xf numFmtId="44" fontId="1" fillId="0" borderId="10" xfId="1" applyFont="1" applyBorder="1" applyAlignment="1">
      <alignment horizontal="center" wrapText="1"/>
    </xf>
    <xf numFmtId="44" fontId="1" fillId="0" borderId="12" xfId="1" applyFont="1" applyBorder="1" applyAlignment="1">
      <alignment horizontal="center" wrapText="1"/>
    </xf>
    <xf numFmtId="44" fontId="1" fillId="0" borderId="10" xfId="1" applyFont="1" applyFill="1" applyBorder="1" applyAlignment="1">
      <alignment horizontal="center"/>
    </xf>
    <xf numFmtId="44" fontId="1" fillId="0" borderId="12" xfId="1" applyFont="1" applyFill="1" applyBorder="1" applyAlignment="1">
      <alignment horizontal="center"/>
    </xf>
    <xf numFmtId="44" fontId="1" fillId="0" borderId="10" xfId="1" applyFont="1" applyFill="1" applyBorder="1" applyAlignment="1">
      <alignment horizontal="center" wrapText="1"/>
    </xf>
    <xf numFmtId="44" fontId="1" fillId="0" borderId="12" xfId="1" applyFont="1" applyFill="1" applyBorder="1" applyAlignment="1">
      <alignment horizontal="center" wrapText="1"/>
    </xf>
    <xf numFmtId="0" fontId="1" fillId="0" borderId="10" xfId="0" applyFont="1" applyFill="1" applyBorder="1" applyAlignment="1">
      <alignment horizontal="center" wrapText="1"/>
    </xf>
    <xf numFmtId="0" fontId="1" fillId="0" borderId="13" xfId="0" applyFont="1" applyFill="1" applyBorder="1" applyAlignment="1">
      <alignment horizontal="center" wrapText="1"/>
    </xf>
    <xf numFmtId="0" fontId="0" fillId="0" borderId="10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7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2" xfId="0" applyFont="1" applyBorder="1" applyAlignment="1">
      <alignment horizontal="left"/>
    </xf>
    <xf numFmtId="0" fontId="2" fillId="0" borderId="9" xfId="0" applyFont="1" applyBorder="1" applyAlignment="1">
      <alignment horizontal="left"/>
    </xf>
    <xf numFmtId="0" fontId="1" fillId="0" borderId="10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5" fillId="2" borderId="10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44" fontId="1" fillId="2" borderId="10" xfId="1" applyFont="1" applyFill="1" applyBorder="1" applyAlignment="1">
      <alignment horizontal="center"/>
    </xf>
    <xf numFmtId="44" fontId="1" fillId="2" borderId="12" xfId="1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1" fillId="0" borderId="10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4" fillId="4" borderId="11" xfId="3" applyFont="1" applyFill="1" applyBorder="1" applyAlignment="1">
      <alignment horizontal="left" vertical="top" wrapText="1"/>
    </xf>
    <xf numFmtId="0" fontId="12" fillId="0" borderId="14" xfId="3" applyFont="1" applyBorder="1" applyAlignment="1">
      <alignment horizontal="center"/>
    </xf>
    <xf numFmtId="0" fontId="13" fillId="0" borderId="11" xfId="3" applyFont="1" applyBorder="1" applyAlignment="1">
      <alignment horizontal="center"/>
    </xf>
    <xf numFmtId="0" fontId="14" fillId="4" borderId="6" xfId="3" applyFont="1" applyFill="1" applyBorder="1" applyAlignment="1">
      <alignment horizontal="center" vertical="top" wrapText="1"/>
    </xf>
    <xf numFmtId="0" fontId="14" fillId="4" borderId="0" xfId="3" applyFont="1" applyFill="1" applyBorder="1" applyAlignment="1">
      <alignment horizontal="center" vertical="top" wrapText="1"/>
    </xf>
    <xf numFmtId="0" fontId="14" fillId="4" borderId="7" xfId="3" applyFont="1" applyFill="1" applyBorder="1" applyAlignment="1">
      <alignment horizontal="center" vertical="top" wrapText="1"/>
    </xf>
    <xf numFmtId="0" fontId="15" fillId="5" borderId="14" xfId="3" applyFont="1" applyFill="1" applyBorder="1" applyAlignment="1">
      <alignment horizontal="center" vertical="top" wrapText="1"/>
    </xf>
    <xf numFmtId="0" fontId="15" fillId="5" borderId="15" xfId="3" applyFont="1" applyFill="1" applyBorder="1" applyAlignment="1">
      <alignment horizontal="center" vertical="top" wrapText="1"/>
    </xf>
    <xf numFmtId="0" fontId="15" fillId="5" borderId="10" xfId="3" applyFont="1" applyFill="1" applyBorder="1" applyAlignment="1">
      <alignment horizontal="center" vertical="top" wrapText="1"/>
    </xf>
    <xf numFmtId="0" fontId="15" fillId="5" borderId="4" xfId="3" applyFont="1" applyFill="1" applyBorder="1" applyAlignment="1">
      <alignment horizontal="center" vertical="top" wrapText="1"/>
    </xf>
    <xf numFmtId="0" fontId="15" fillId="5" borderId="5" xfId="3" applyFont="1" applyFill="1" applyBorder="1" applyAlignment="1">
      <alignment horizontal="center" vertical="top" wrapText="1"/>
    </xf>
    <xf numFmtId="0" fontId="16" fillId="5" borderId="19" xfId="3" applyFont="1" applyFill="1" applyBorder="1" applyAlignment="1">
      <alignment horizontal="center" vertical="center" wrapText="1"/>
    </xf>
    <xf numFmtId="0" fontId="19" fillId="5" borderId="20" xfId="3" applyFont="1" applyFill="1" applyBorder="1" applyAlignment="1">
      <alignment horizontal="center" vertical="center" wrapText="1"/>
    </xf>
    <xf numFmtId="0" fontId="16" fillId="5" borderId="26" xfId="3" applyFont="1" applyFill="1" applyBorder="1" applyAlignment="1">
      <alignment horizontal="center" vertical="center" wrapText="1"/>
    </xf>
    <xf numFmtId="0" fontId="19" fillId="5" borderId="27" xfId="3" applyFont="1" applyFill="1" applyBorder="1" applyAlignment="1">
      <alignment horizontal="center" vertical="center" wrapText="1"/>
    </xf>
    <xf numFmtId="0" fontId="15" fillId="5" borderId="1" xfId="3" applyFont="1" applyFill="1" applyBorder="1" applyAlignment="1">
      <alignment horizontal="center" vertical="top" wrapText="1"/>
    </xf>
    <xf numFmtId="0" fontId="16" fillId="5" borderId="21" xfId="3" applyFont="1" applyFill="1" applyBorder="1" applyAlignment="1">
      <alignment horizontal="center" vertical="center" wrapText="1"/>
    </xf>
    <xf numFmtId="0" fontId="16" fillId="5" borderId="23" xfId="3" applyFont="1" applyFill="1" applyBorder="1" applyAlignment="1">
      <alignment horizontal="center" vertical="center" wrapText="1"/>
    </xf>
    <xf numFmtId="0" fontId="19" fillId="5" borderId="22" xfId="3" applyFont="1" applyFill="1" applyBorder="1" applyAlignment="1">
      <alignment horizontal="center" vertical="center" wrapText="1"/>
    </xf>
    <xf numFmtId="0" fontId="19" fillId="5" borderId="24" xfId="3" applyFont="1" applyFill="1" applyBorder="1" applyAlignment="1">
      <alignment horizontal="center" vertical="center" wrapText="1"/>
    </xf>
    <xf numFmtId="0" fontId="18" fillId="5" borderId="16" xfId="3" applyFont="1" applyFill="1" applyBorder="1" applyAlignment="1">
      <alignment horizontal="center" vertical="center" wrapText="1"/>
    </xf>
    <xf numFmtId="0" fontId="18" fillId="5" borderId="25" xfId="3" applyFont="1" applyFill="1" applyBorder="1" applyAlignment="1">
      <alignment horizontal="center" vertical="center" wrapText="1"/>
    </xf>
    <xf numFmtId="0" fontId="16" fillId="5" borderId="17" xfId="3" applyFont="1" applyFill="1" applyBorder="1" applyAlignment="1">
      <alignment horizontal="center" vertical="center" wrapText="1"/>
    </xf>
    <xf numFmtId="0" fontId="19" fillId="5" borderId="18" xfId="3" applyFont="1" applyFill="1" applyBorder="1" applyAlignment="1">
      <alignment horizontal="center" vertical="center" wrapText="1"/>
    </xf>
    <xf numFmtId="0" fontId="26" fillId="0" borderId="4" xfId="3" applyFont="1" applyBorder="1" applyAlignment="1">
      <alignment horizontal="center"/>
    </xf>
    <xf numFmtId="0" fontId="26" fillId="0" borderId="5" xfId="3" applyFont="1" applyBorder="1" applyAlignment="1">
      <alignment horizontal="center"/>
    </xf>
    <xf numFmtId="0" fontId="26" fillId="0" borderId="0" xfId="3" applyFont="1" applyBorder="1" applyAlignment="1">
      <alignment horizontal="center"/>
    </xf>
    <xf numFmtId="0" fontId="26" fillId="0" borderId="7" xfId="3" applyFont="1" applyBorder="1" applyAlignment="1">
      <alignment horizontal="center"/>
    </xf>
    <xf numFmtId="0" fontId="26" fillId="0" borderId="2" xfId="3" applyFont="1" applyBorder="1" applyAlignment="1">
      <alignment horizontal="center" vertical="top" wrapText="1"/>
    </xf>
    <xf numFmtId="0" fontId="26" fillId="0" borderId="9" xfId="3" applyFont="1" applyBorder="1" applyAlignment="1">
      <alignment horizontal="center" vertical="top" wrapText="1"/>
    </xf>
    <xf numFmtId="0" fontId="0" fillId="0" borderId="2" xfId="0" applyBorder="1" applyAlignment="1" applyProtection="1">
      <alignment horizontal="center" vertical="center"/>
      <protection locked="0"/>
    </xf>
    <xf numFmtId="0" fontId="31" fillId="2" borderId="1" xfId="11" applyFont="1" applyFill="1" applyBorder="1" applyAlignment="1" applyProtection="1">
      <alignment horizontal="left" vertical="center" wrapText="1" indent="6"/>
    </xf>
    <xf numFmtId="10" fontId="32" fillId="0" borderId="10" xfId="2" applyNumberFormat="1" applyFont="1" applyBorder="1" applyAlignment="1" applyProtection="1">
      <alignment horizontal="center" vertical="center" wrapText="1"/>
      <protection hidden="1"/>
    </xf>
    <xf numFmtId="10" fontId="32" fillId="0" borderId="13" xfId="2" applyNumberFormat="1" applyFont="1" applyBorder="1" applyAlignment="1" applyProtection="1">
      <alignment horizontal="center" vertical="center" wrapText="1"/>
      <protection hidden="1"/>
    </xf>
    <xf numFmtId="10" fontId="32" fillId="0" borderId="12" xfId="2" applyNumberFormat="1" applyFont="1" applyBorder="1" applyAlignment="1" applyProtection="1">
      <alignment horizontal="center" vertical="center" wrapText="1"/>
      <protection hidden="1"/>
    </xf>
    <xf numFmtId="0" fontId="41" fillId="0" borderId="0" xfId="11" applyFont="1" applyBorder="1" applyAlignment="1" applyProtection="1">
      <alignment horizontal="left" vertical="center" wrapText="1"/>
    </xf>
    <xf numFmtId="0" fontId="42" fillId="0" borderId="0" xfId="11" applyBorder="1" applyAlignment="1" applyProtection="1">
      <alignment horizontal="left" vertical="center"/>
    </xf>
    <xf numFmtId="0" fontId="42" fillId="0" borderId="7" xfId="11" applyBorder="1" applyAlignment="1" applyProtection="1">
      <alignment horizontal="left" vertical="center"/>
    </xf>
    <xf numFmtId="0" fontId="26" fillId="0" borderId="0" xfId="3" applyFont="1" applyBorder="1" applyAlignment="1">
      <alignment horizontal="left"/>
    </xf>
    <xf numFmtId="0" fontId="26" fillId="0" borderId="0" xfId="3" applyFont="1" applyBorder="1" applyAlignment="1">
      <alignment horizontal="left" vertical="top" wrapText="1"/>
    </xf>
    <xf numFmtId="0" fontId="31" fillId="2" borderId="1" xfId="11" applyFont="1" applyFill="1" applyBorder="1" applyAlignment="1" applyProtection="1">
      <alignment horizontal="left" vertical="center" indent="6"/>
    </xf>
    <xf numFmtId="44" fontId="32" fillId="0" borderId="10" xfId="1" applyFont="1" applyBorder="1" applyAlignment="1" applyProtection="1">
      <alignment horizontal="center" vertical="center" wrapText="1"/>
      <protection hidden="1"/>
    </xf>
    <xf numFmtId="44" fontId="32" fillId="0" borderId="13" xfId="1" applyFont="1" applyBorder="1" applyAlignment="1" applyProtection="1">
      <alignment horizontal="center" vertical="center" wrapText="1"/>
      <protection hidden="1"/>
    </xf>
    <xf numFmtId="44" fontId="32" fillId="0" borderId="12" xfId="1" applyFont="1" applyBorder="1" applyAlignment="1" applyProtection="1">
      <alignment horizontal="center" vertical="center" wrapText="1"/>
      <protection hidden="1"/>
    </xf>
    <xf numFmtId="44" fontId="32" fillId="0" borderId="10" xfId="1" applyFont="1" applyBorder="1" applyAlignment="1" applyProtection="1">
      <alignment horizontal="center" vertical="center" wrapText="1"/>
      <protection locked="0"/>
    </xf>
    <xf numFmtId="44" fontId="32" fillId="0" borderId="13" xfId="1" applyFont="1" applyBorder="1" applyAlignment="1" applyProtection="1">
      <alignment horizontal="center" vertical="center" wrapText="1"/>
      <protection locked="0"/>
    </xf>
    <xf numFmtId="44" fontId="32" fillId="0" borderId="12" xfId="1" applyFont="1" applyBorder="1" applyAlignment="1" applyProtection="1">
      <alignment horizontal="center" vertical="center" wrapText="1"/>
      <protection locked="0"/>
    </xf>
    <xf numFmtId="0" fontId="31" fillId="0" borderId="14" xfId="11" applyFont="1" applyBorder="1" applyAlignment="1" applyProtection="1">
      <alignment horizontal="center" vertical="center"/>
    </xf>
    <xf numFmtId="0" fontId="31" fillId="0" borderId="15" xfId="11" applyFont="1" applyBorder="1" applyAlignment="1" applyProtection="1">
      <alignment horizontal="center" vertical="center"/>
    </xf>
    <xf numFmtId="0" fontId="31" fillId="0" borderId="3" xfId="11" applyFont="1" applyBorder="1" applyAlignment="1" applyProtection="1">
      <alignment horizontal="left" vertical="center" wrapText="1" indent="1"/>
      <protection locked="0"/>
    </xf>
    <xf numFmtId="0" fontId="31" fillId="0" borderId="5" xfId="11" applyFont="1" applyBorder="1" applyAlignment="1" applyProtection="1">
      <alignment horizontal="left" vertical="center" wrapText="1" indent="1"/>
      <protection locked="0"/>
    </xf>
    <xf numFmtId="0" fontId="31" fillId="0" borderId="8" xfId="11" applyFont="1" applyBorder="1" applyAlignment="1" applyProtection="1">
      <alignment horizontal="left" vertical="center" wrapText="1" indent="1"/>
      <protection locked="0"/>
    </xf>
    <xf numFmtId="0" fontId="31" fillId="0" borderId="9" xfId="11" applyFont="1" applyBorder="1" applyAlignment="1" applyProtection="1">
      <alignment horizontal="left" vertical="center" wrapText="1" indent="1"/>
      <protection locked="0"/>
    </xf>
    <xf numFmtId="10" fontId="32" fillId="0" borderId="32" xfId="2" applyNumberFormat="1" applyFont="1" applyBorder="1" applyAlignment="1" applyProtection="1">
      <alignment horizontal="center" vertical="center" wrapText="1"/>
      <protection hidden="1"/>
    </xf>
    <xf numFmtId="10" fontId="32" fillId="0" borderId="31" xfId="2" applyNumberFormat="1" applyFont="1" applyBorder="1" applyAlignment="1" applyProtection="1">
      <alignment horizontal="center" vertical="center" wrapText="1"/>
      <protection hidden="1"/>
    </xf>
    <xf numFmtId="43" fontId="32" fillId="0" borderId="29" xfId="8" applyFont="1" applyBorder="1" applyAlignment="1" applyProtection="1">
      <alignment horizontal="center" vertical="center" wrapText="1"/>
      <protection locked="0"/>
    </xf>
    <xf numFmtId="43" fontId="32" fillId="0" borderId="33" xfId="8" applyFont="1" applyBorder="1" applyAlignment="1" applyProtection="1">
      <alignment horizontal="center" vertical="center" wrapText="1"/>
      <protection locked="0"/>
    </xf>
    <xf numFmtId="43" fontId="32" fillId="0" borderId="34" xfId="8" applyFont="1" applyBorder="1" applyAlignment="1" applyProtection="1">
      <alignment horizontal="center" vertical="center" wrapText="1"/>
      <protection locked="0"/>
    </xf>
    <xf numFmtId="4" fontId="31" fillId="1" borderId="10" xfId="11" applyNumberFormat="1" applyFont="1" applyFill="1" applyBorder="1" applyAlignment="1" applyProtection="1">
      <alignment horizontal="center" vertical="center"/>
    </xf>
    <xf numFmtId="4" fontId="31" fillId="1" borderId="13" xfId="11" applyNumberFormat="1" applyFont="1" applyFill="1" applyBorder="1" applyAlignment="1" applyProtection="1">
      <alignment horizontal="center" vertical="center"/>
    </xf>
    <xf numFmtId="4" fontId="31" fillId="1" borderId="12" xfId="11" applyNumberFormat="1" applyFont="1" applyFill="1" applyBorder="1" applyAlignment="1" applyProtection="1">
      <alignment horizontal="center" vertical="center"/>
    </xf>
    <xf numFmtId="0" fontId="35" fillId="0" borderId="6" xfId="6" applyFont="1" applyBorder="1" applyAlignment="1" applyProtection="1">
      <alignment horizontal="left" vertical="center" wrapText="1" indent="1"/>
    </xf>
    <xf numFmtId="0" fontId="35" fillId="0" borderId="0" xfId="6" applyFont="1" applyBorder="1" applyAlignment="1" applyProtection="1">
      <alignment horizontal="left" vertical="center" wrapText="1" indent="1"/>
    </xf>
    <xf numFmtId="0" fontId="35" fillId="0" borderId="8" xfId="6" applyFont="1" applyBorder="1" applyAlignment="1" applyProtection="1">
      <alignment horizontal="left" vertical="center" wrapText="1" indent="1"/>
    </xf>
    <xf numFmtId="0" fontId="35" fillId="0" borderId="2" xfId="6" applyFont="1" applyBorder="1" applyAlignment="1" applyProtection="1">
      <alignment horizontal="left" vertical="center" wrapText="1" indent="1"/>
    </xf>
    <xf numFmtId="0" fontId="31" fillId="2" borderId="14" xfId="11" applyFont="1" applyFill="1" applyBorder="1" applyAlignment="1" applyProtection="1">
      <alignment horizontal="center" vertical="center" textRotation="90"/>
    </xf>
    <xf numFmtId="0" fontId="31" fillId="2" borderId="11" xfId="11" applyFont="1" applyFill="1" applyBorder="1" applyAlignment="1" applyProtection="1">
      <alignment horizontal="center" vertical="center" textRotation="90"/>
    </xf>
    <xf numFmtId="0" fontId="31" fillId="2" borderId="3" xfId="11" applyFont="1" applyFill="1" applyBorder="1" applyAlignment="1" applyProtection="1">
      <alignment horizontal="center" vertical="center"/>
    </xf>
    <xf numFmtId="0" fontId="31" fillId="2" borderId="5" xfId="11" applyFont="1" applyFill="1" applyBorder="1" applyAlignment="1" applyProtection="1">
      <alignment horizontal="center" vertical="center"/>
    </xf>
    <xf numFmtId="0" fontId="31" fillId="2" borderId="6" xfId="11" applyFont="1" applyFill="1" applyBorder="1" applyAlignment="1" applyProtection="1">
      <alignment horizontal="center" vertical="center"/>
    </xf>
    <xf numFmtId="0" fontId="31" fillId="2" borderId="7" xfId="11" applyFont="1" applyFill="1" applyBorder="1" applyAlignment="1" applyProtection="1">
      <alignment horizontal="center" vertical="center"/>
    </xf>
    <xf numFmtId="0" fontId="31" fillId="2" borderId="6" xfId="11" applyFont="1" applyFill="1" applyBorder="1" applyAlignment="1" applyProtection="1">
      <alignment horizontal="center" vertical="center" textRotation="90"/>
    </xf>
    <xf numFmtId="0" fontId="31" fillId="2" borderId="13" xfId="11" applyFont="1" applyFill="1" applyBorder="1" applyAlignment="1" applyProtection="1">
      <alignment horizontal="center" vertical="center"/>
    </xf>
    <xf numFmtId="0" fontId="31" fillId="2" borderId="12" xfId="11" applyFont="1" applyFill="1" applyBorder="1" applyAlignment="1" applyProtection="1">
      <alignment horizontal="center" vertical="center"/>
    </xf>
    <xf numFmtId="0" fontId="28" fillId="0" borderId="3" xfId="11" applyFont="1" applyBorder="1" applyAlignment="1" applyProtection="1">
      <alignment horizontal="center" vertical="center" wrapText="1"/>
      <protection locked="0"/>
    </xf>
    <xf numFmtId="0" fontId="28" fillId="0" borderId="4" xfId="11" applyFont="1" applyBorder="1" applyAlignment="1" applyProtection="1">
      <alignment horizontal="center" vertical="center" wrapText="1"/>
      <protection locked="0"/>
    </xf>
    <xf numFmtId="0" fontId="28" fillId="0" borderId="6" xfId="11" applyFont="1" applyBorder="1" applyAlignment="1" applyProtection="1">
      <alignment horizontal="center" vertical="center" wrapText="1"/>
      <protection locked="0"/>
    </xf>
    <xf numFmtId="0" fontId="28" fillId="0" borderId="0" xfId="11" applyFont="1" applyBorder="1" applyAlignment="1" applyProtection="1">
      <alignment horizontal="center" vertical="center" wrapText="1"/>
      <protection locked="0"/>
    </xf>
    <xf numFmtId="0" fontId="29" fillId="0" borderId="4" xfId="11" applyFont="1" applyBorder="1" applyAlignment="1" applyProtection="1">
      <alignment horizontal="center" vertical="center"/>
    </xf>
    <xf numFmtId="0" fontId="29" fillId="0" borderId="5" xfId="11" applyFont="1" applyBorder="1" applyAlignment="1" applyProtection="1">
      <alignment horizontal="center" vertical="center"/>
    </xf>
    <xf numFmtId="0" fontId="29" fillId="0" borderId="0" xfId="11" applyFont="1" applyBorder="1" applyAlignment="1" applyProtection="1">
      <alignment horizontal="center" vertical="center"/>
    </xf>
    <xf numFmtId="0" fontId="29" fillId="0" borderId="7" xfId="11" applyFont="1" applyBorder="1" applyAlignment="1" applyProtection="1">
      <alignment horizontal="center" vertical="center"/>
    </xf>
    <xf numFmtId="0" fontId="31" fillId="0" borderId="0" xfId="11" applyFont="1" applyBorder="1" applyAlignment="1" applyProtection="1">
      <alignment horizontal="center" vertical="center"/>
    </xf>
    <xf numFmtId="0" fontId="31" fillId="0" borderId="7" xfId="11" applyFont="1" applyBorder="1" applyAlignment="1" applyProtection="1">
      <alignment horizontal="center" vertical="center"/>
    </xf>
    <xf numFmtId="0" fontId="31" fillId="2" borderId="1" xfId="11" applyFont="1" applyFill="1" applyBorder="1" applyAlignment="1" applyProtection="1">
      <alignment horizontal="left" vertical="center"/>
    </xf>
    <xf numFmtId="0" fontId="31" fillId="2" borderId="1" xfId="11" applyFont="1" applyFill="1" applyBorder="1" applyAlignment="1" applyProtection="1">
      <alignment horizontal="center" vertical="center" wrapText="1"/>
    </xf>
    <xf numFmtId="0" fontId="37" fillId="0" borderId="1" xfId="11" applyFont="1" applyBorder="1" applyAlignment="1" applyProtection="1">
      <alignment horizontal="center" vertical="center" wrapText="1"/>
      <protection locked="0"/>
    </xf>
    <xf numFmtId="4" fontId="31" fillId="2" borderId="14" xfId="11" applyNumberFormat="1" applyFont="1" applyFill="1" applyBorder="1" applyAlignment="1" applyProtection="1">
      <alignment horizontal="center" vertical="center"/>
    </xf>
    <xf numFmtId="4" fontId="31" fillId="2" borderId="11" xfId="11" applyNumberFormat="1" applyFont="1" applyFill="1" applyBorder="1" applyAlignment="1" applyProtection="1">
      <alignment horizontal="center" vertical="center"/>
    </xf>
    <xf numFmtId="4" fontId="31" fillId="2" borderId="7" xfId="11" applyNumberFormat="1" applyFont="1" applyFill="1" applyBorder="1" applyAlignment="1" applyProtection="1">
      <alignment horizontal="center" vertical="center"/>
    </xf>
    <xf numFmtId="0" fontId="39" fillId="0" borderId="13" xfId="11" applyFont="1" applyBorder="1" applyAlignment="1" applyProtection="1">
      <alignment horizontal="center" vertical="center" wrapText="1"/>
    </xf>
    <xf numFmtId="0" fontId="39" fillId="0" borderId="12" xfId="11" applyFont="1" applyBorder="1" applyAlignment="1" applyProtection="1">
      <alignment horizontal="center" vertical="center" wrapText="1"/>
    </xf>
    <xf numFmtId="0" fontId="31" fillId="0" borderId="10" xfId="6" applyFont="1" applyBorder="1" applyAlignment="1" applyProtection="1">
      <alignment horizontal="right" vertical="center" wrapText="1"/>
    </xf>
    <xf numFmtId="0" fontId="31" fillId="0" borderId="13" xfId="6" applyFont="1" applyBorder="1" applyAlignment="1" applyProtection="1">
      <alignment horizontal="right" vertical="center" wrapText="1"/>
    </xf>
    <xf numFmtId="0" fontId="31" fillId="0" borderId="13" xfId="6" applyFont="1" applyBorder="1" applyAlignment="1" applyProtection="1">
      <alignment horizontal="left" vertical="center" wrapText="1"/>
    </xf>
    <xf numFmtId="0" fontId="31" fillId="0" borderId="12" xfId="6" applyFont="1" applyBorder="1" applyAlignment="1" applyProtection="1">
      <alignment horizontal="left" vertical="center" wrapText="1"/>
    </xf>
    <xf numFmtId="0" fontId="37" fillId="2" borderId="1" xfId="11" applyFont="1" applyFill="1" applyBorder="1" applyAlignment="1" applyProtection="1">
      <alignment horizontal="center" vertical="center" textRotation="90" wrapText="1"/>
    </xf>
    <xf numFmtId="0" fontId="31" fillId="0" borderId="1" xfId="11" applyFont="1" applyBorder="1" applyAlignment="1" applyProtection="1">
      <alignment horizontal="center" vertical="center" wrapText="1"/>
    </xf>
    <xf numFmtId="0" fontId="31" fillId="0" borderId="10" xfId="11" applyFont="1" applyBorder="1" applyAlignment="1" applyProtection="1">
      <alignment horizontal="center" vertical="center" wrapText="1"/>
    </xf>
    <xf numFmtId="0" fontId="31" fillId="0" borderId="2" xfId="11" applyFont="1" applyBorder="1" applyAlignment="1" applyProtection="1">
      <alignment horizontal="left" vertical="center" wrapText="1"/>
    </xf>
    <xf numFmtId="0" fontId="31" fillId="0" borderId="13" xfId="11" applyFont="1" applyBorder="1" applyAlignment="1" applyProtection="1">
      <alignment horizontal="left" vertical="center" wrapText="1"/>
    </xf>
    <xf numFmtId="0" fontId="31" fillId="0" borderId="12" xfId="11" applyFont="1" applyBorder="1" applyAlignment="1" applyProtection="1">
      <alignment horizontal="left" vertical="center" wrapText="1"/>
    </xf>
    <xf numFmtId="0" fontId="31" fillId="0" borderId="13" xfId="11" applyFont="1" applyBorder="1" applyAlignment="1" applyProtection="1">
      <alignment horizontal="left" vertical="center" wrapText="1"/>
      <protection hidden="1"/>
    </xf>
    <xf numFmtId="0" fontId="31" fillId="0" borderId="12" xfId="11" applyFont="1" applyBorder="1" applyAlignment="1" applyProtection="1">
      <alignment horizontal="left" vertical="center" wrapText="1"/>
      <protection hidden="1"/>
    </xf>
  </cellXfs>
  <cellStyles count="13">
    <cellStyle name="Excel Built-in Explanatory Text" xfId="4"/>
    <cellStyle name="Moeda" xfId="1" builtinId="4"/>
    <cellStyle name="Moeda 2" xfId="7"/>
    <cellStyle name="Moeda 2 2" xfId="10"/>
    <cellStyle name="Moeda 2 2 2" xfId="12"/>
    <cellStyle name="Normal" xfId="0" builtinId="0"/>
    <cellStyle name="Normal 2" xfId="3"/>
    <cellStyle name="Normal 2 2" xfId="9"/>
    <cellStyle name="Normal 2 2 2" xfId="11"/>
    <cellStyle name="Normal 3" xfId="6"/>
    <cellStyle name="Porcentagem" xfId="2" builtinId="5"/>
    <cellStyle name="Porcentagem 2" xfId="5"/>
    <cellStyle name="Separador de milhares" xfId="8" builtinId="3"/>
  </cellStyles>
  <dxfs count="44"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b val="0"/>
        <i/>
        <color theme="0" tint="-0.24994659260841701"/>
      </font>
      <fill>
        <patternFill patternType="none">
          <bgColor auto="1"/>
        </patternFill>
      </fill>
    </dxf>
    <dxf>
      <font>
        <color rgb="FF7030A0"/>
      </font>
      <fill>
        <patternFill>
          <bgColor theme="7" tint="0.79998168889431442"/>
        </patternFill>
      </fill>
    </dxf>
    <dxf>
      <font>
        <b/>
        <i val="0"/>
        <color rgb="FF7030A0"/>
      </font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3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82025" y="82602"/>
          <a:ext cx="681318" cy="106039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3030711</xdr:colOff>
      <xdr:row>0</xdr:row>
      <xdr:rowOff>82602</xdr:rowOff>
    </xdr:from>
    <xdr:to>
      <xdr:col>3</xdr:col>
      <xdr:colOff>3712029</xdr:colOff>
      <xdr:row>5</xdr:row>
      <xdr:rowOff>163285</xdr:rowOff>
    </xdr:to>
    <xdr:pic>
      <xdr:nvPicPr>
        <xdr:cNvPr id="2" name="Figura1"/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 bwMode="auto">
        <a:xfrm>
          <a:off x="5307186" y="82602"/>
          <a:ext cx="681318" cy="1033183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362336</xdr:colOff>
      <xdr:row>0</xdr:row>
      <xdr:rowOff>71798</xdr:rowOff>
    </xdr:from>
    <xdr:to>
      <xdr:col>7</xdr:col>
      <xdr:colOff>971411</xdr:colOff>
      <xdr:row>6</xdr:row>
      <xdr:rowOff>57951</xdr:rowOff>
    </xdr:to>
    <xdr:pic>
      <xdr:nvPicPr>
        <xdr:cNvPr id="2" name="Figura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/>
      </xdr:blipFill>
      <xdr:spPr>
        <a:xfrm>
          <a:off x="7067936" y="71798"/>
          <a:ext cx="609075" cy="867495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108857</xdr:colOff>
      <xdr:row>58</xdr:row>
      <xdr:rowOff>142875</xdr:rowOff>
    </xdr:from>
    <xdr:to>
      <xdr:col>9</xdr:col>
      <xdr:colOff>2085975</xdr:colOff>
      <xdr:row>67</xdr:row>
      <xdr:rowOff>152399</xdr:rowOff>
    </xdr:to>
    <xdr:sp macro="" textlink="">
      <xdr:nvSpPr>
        <xdr:cNvPr id="2" name="CaixaDeTexto 1"/>
        <xdr:cNvSpPr txBox="1"/>
      </xdr:nvSpPr>
      <xdr:spPr>
        <a:xfrm>
          <a:off x="108857" y="17373600"/>
          <a:ext cx="10987768" cy="1866899"/>
        </a:xfrm>
        <a:prstGeom prst="rect">
          <a:avLst/>
        </a:prstGeom>
        <a:solidFill>
          <a:schemeClr val="lt1"/>
        </a:solidFill>
        <a:ln w="9525" cmpd="sng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pt-BR" sz="1000"/>
            <a:t>OBSERVAÇÃO CONFORME: </a:t>
          </a: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 sz="1100" i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Decreto n.º 66.173 de 27/10/2021 _ "a liberação dos recursos, considerando o valor total destes, observará o seguinte:</a:t>
          </a: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pt-BR" sz="1100" i="1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1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 até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reais), em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parcela única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2. 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R$ 500.000,00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(quinhentos mil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R$1.000.000,00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(um milhão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2 (duas) parcelas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igualmente divididas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3. 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entre R$ 1.000.000,00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(hum milhão de reais)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 R$ 5.000.000,00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 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3 (três) parcelas,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;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pPr fontAlgn="base"/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4. 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acima de R$ 5.000.000,00 </a:t>
          </a:r>
          <a:r>
            <a:rPr lang="pt-BR" sz="1100" b="0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(cinco milhões de reais), </a:t>
          </a:r>
          <a:r>
            <a:rPr lang="pt-BR" sz="1100" b="1" i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em parcelas sucessivas, conforme estipular o respectivo instrumento, </a:t>
          </a:r>
          <a:r>
            <a:rPr lang="pt-BR" sz="1100" b="1" i="0" u="sng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sendo a primeira de 30% (trinta por cento)</a:t>
          </a:r>
          <a:endParaRPr lang="pt-BR" sz="1100" b="0" i="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pt-BR"/>
            <a:t/>
          </a:r>
          <a:br>
            <a:rPr lang="pt-BR"/>
          </a:br>
          <a:endParaRPr lang="pt-B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 editAs="oneCell">
    <xdr:from>
      <xdr:col>0</xdr:col>
      <xdr:colOff>68035</xdr:colOff>
      <xdr:row>0</xdr:row>
      <xdr:rowOff>0</xdr:rowOff>
    </xdr:from>
    <xdr:to>
      <xdr:col>1</xdr:col>
      <xdr:colOff>489857</xdr:colOff>
      <xdr:row>4</xdr:row>
      <xdr:rowOff>44786</xdr:rowOff>
    </xdr:to>
    <xdr:pic>
      <xdr:nvPicPr>
        <xdr:cNvPr id="3" name="Figura1">
          <a:extLst>
            <a:ext uri="{FF2B5EF4-FFF2-40B4-BE49-F238E27FC236}">
              <a16:creationId xmlns:a16="http://schemas.microsoft.com/office/drawing/2014/main" xmlns="" id="{00000000-0008-0000-04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68035" y="0"/>
          <a:ext cx="831397" cy="1168736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4"/>
  <sheetViews>
    <sheetView view="pageBreakPreview" topLeftCell="A136" zoomScale="85" zoomScaleNormal="120" zoomScaleSheetLayoutView="85" workbookViewId="0">
      <selection activeCell="J189" sqref="J189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5.28515625" customWidth="1"/>
    <col min="8" max="8" width="21" bestFit="1" customWidth="1"/>
    <col min="9" max="9" width="20.28515625" customWidth="1"/>
    <col min="10" max="10" width="12.7109375" bestFit="1" customWidth="1"/>
    <col min="12" max="12" width="17.85546875" customWidth="1"/>
    <col min="13" max="13" width="13.7109375" bestFit="1" customWidth="1"/>
  </cols>
  <sheetData>
    <row r="1" spans="1:8" ht="15" customHeight="1">
      <c r="A1" s="230" t="s">
        <v>64</v>
      </c>
      <c r="B1" s="231"/>
      <c r="C1" s="231"/>
      <c r="D1" s="231"/>
      <c r="E1" s="231"/>
      <c r="F1" s="231"/>
      <c r="G1" s="231"/>
      <c r="H1" s="232"/>
    </row>
    <row r="2" spans="1:8" ht="15" customHeight="1">
      <c r="A2" s="233"/>
      <c r="B2" s="234"/>
      <c r="C2" s="234"/>
      <c r="D2" s="234"/>
      <c r="E2" s="234"/>
      <c r="F2" s="234"/>
      <c r="G2" s="234"/>
      <c r="H2" s="235"/>
    </row>
    <row r="3" spans="1:8" ht="15" customHeight="1">
      <c r="A3" s="233"/>
      <c r="B3" s="234"/>
      <c r="C3" s="234"/>
      <c r="D3" s="234"/>
      <c r="E3" s="234"/>
      <c r="F3" s="234"/>
      <c r="G3" s="234"/>
      <c r="H3" s="235"/>
    </row>
    <row r="4" spans="1:8" ht="15" customHeight="1">
      <c r="A4" s="233"/>
      <c r="B4" s="234"/>
      <c r="C4" s="234"/>
      <c r="D4" s="234"/>
      <c r="E4" s="234"/>
      <c r="F4" s="234"/>
      <c r="G4" s="234"/>
      <c r="H4" s="235"/>
    </row>
    <row r="5" spans="1:8" ht="15" customHeight="1">
      <c r="A5" s="233"/>
      <c r="B5" s="234"/>
      <c r="C5" s="234"/>
      <c r="D5" s="234"/>
      <c r="E5" s="234"/>
      <c r="F5" s="234"/>
      <c r="G5" s="234"/>
      <c r="H5" s="235"/>
    </row>
    <row r="6" spans="1:8" ht="15" customHeight="1">
      <c r="A6" s="233"/>
      <c r="B6" s="234"/>
      <c r="C6" s="234"/>
      <c r="D6" s="234"/>
      <c r="E6" s="234"/>
      <c r="F6" s="234"/>
      <c r="G6" s="234"/>
      <c r="H6" s="235"/>
    </row>
    <row r="7" spans="1:8" ht="15" customHeight="1">
      <c r="A7" s="233"/>
      <c r="B7" s="234"/>
      <c r="C7" s="234"/>
      <c r="D7" s="234"/>
      <c r="E7" s="234"/>
      <c r="F7" s="234"/>
      <c r="G7" s="234"/>
      <c r="H7" s="235"/>
    </row>
    <row r="8" spans="1:8" ht="15" customHeight="1">
      <c r="A8" s="236" t="s">
        <v>63</v>
      </c>
      <c r="B8" s="237"/>
      <c r="C8" s="237"/>
      <c r="D8" s="237"/>
      <c r="E8" s="237"/>
      <c r="F8" s="237"/>
      <c r="G8" s="237"/>
      <c r="H8" s="238"/>
    </row>
    <row r="9" spans="1:8" ht="15" customHeight="1">
      <c r="A9" s="35"/>
      <c r="B9" s="36"/>
      <c r="C9" s="36"/>
      <c r="D9" s="36"/>
      <c r="E9" s="36"/>
      <c r="F9" s="36"/>
      <c r="G9" s="36"/>
      <c r="H9" s="37"/>
    </row>
    <row r="10" spans="1:8" ht="15" customHeight="1">
      <c r="A10" s="239" t="s">
        <v>8</v>
      </c>
      <c r="B10" s="240"/>
      <c r="C10" s="240"/>
      <c r="D10" s="240"/>
      <c r="E10" s="240"/>
      <c r="F10" s="240"/>
      <c r="G10" s="240"/>
      <c r="H10" s="241"/>
    </row>
    <row r="11" spans="1:8" ht="15" customHeight="1">
      <c r="A11" s="4"/>
      <c r="B11" s="242"/>
      <c r="C11" s="242"/>
      <c r="D11" s="242"/>
      <c r="E11" s="242"/>
      <c r="F11" s="242"/>
      <c r="G11" s="242"/>
      <c r="H11" s="243"/>
    </row>
    <row r="12" spans="1:8" ht="15" customHeight="1">
      <c r="A12" s="4"/>
      <c r="B12" s="244" t="s">
        <v>345</v>
      </c>
      <c r="C12" s="244"/>
      <c r="D12" s="244"/>
      <c r="E12" s="244"/>
      <c r="F12" s="244"/>
      <c r="G12" s="244"/>
      <c r="H12" s="245"/>
    </row>
    <row r="13" spans="1:8" ht="15" customHeight="1">
      <c r="A13" s="4"/>
      <c r="B13" s="244" t="s">
        <v>308</v>
      </c>
      <c r="C13" s="244"/>
      <c r="D13" s="244"/>
      <c r="E13" s="244"/>
      <c r="F13" s="244"/>
      <c r="G13" s="244"/>
      <c r="H13" s="245"/>
    </row>
    <row r="14" spans="1:8" ht="15" customHeight="1">
      <c r="A14" s="5"/>
      <c r="B14" s="6" t="s">
        <v>346</v>
      </c>
      <c r="C14" s="6"/>
      <c r="D14" s="6"/>
      <c r="E14" s="246" t="s">
        <v>347</v>
      </c>
      <c r="F14" s="246"/>
      <c r="G14" s="246"/>
      <c r="H14" s="247"/>
    </row>
    <row r="15" spans="1:8" ht="25.5">
      <c r="A15" s="9" t="s">
        <v>0</v>
      </c>
      <c r="B15" s="10" t="s">
        <v>1</v>
      </c>
      <c r="C15" s="10" t="s">
        <v>2</v>
      </c>
      <c r="D15" s="9" t="s">
        <v>3</v>
      </c>
      <c r="E15" s="9" t="s">
        <v>4</v>
      </c>
      <c r="F15" s="9" t="s">
        <v>5</v>
      </c>
      <c r="G15" s="10" t="s">
        <v>6</v>
      </c>
      <c r="H15" s="10" t="s">
        <v>7</v>
      </c>
    </row>
    <row r="16" spans="1:8" ht="9" customHeight="1">
      <c r="A16" s="2"/>
      <c r="B16" s="2"/>
      <c r="C16" s="2"/>
      <c r="D16" s="2"/>
      <c r="E16" s="2"/>
      <c r="F16" s="2"/>
      <c r="G16" s="2"/>
      <c r="H16" s="2"/>
    </row>
    <row r="17" spans="1:13">
      <c r="A17" s="11">
        <v>1</v>
      </c>
      <c r="B17" s="3"/>
      <c r="C17" s="3"/>
      <c r="D17" s="11" t="s">
        <v>10</v>
      </c>
      <c r="E17" s="3"/>
      <c r="F17" s="3"/>
      <c r="G17" s="18"/>
      <c r="H17" s="18"/>
      <c r="I17" s="24"/>
    </row>
    <row r="18" spans="1:13" s="48" customFormat="1">
      <c r="A18" s="60" t="s">
        <v>9</v>
      </c>
      <c r="B18" s="50" t="s">
        <v>336</v>
      </c>
      <c r="C18" s="45" t="s">
        <v>469</v>
      </c>
      <c r="D18" s="52" t="s">
        <v>468</v>
      </c>
      <c r="E18" s="45" t="s">
        <v>40</v>
      </c>
      <c r="F18" s="43">
        <f>ROUND((3*1.5)+(1.5*1),2)</f>
        <v>6</v>
      </c>
      <c r="G18" s="47"/>
      <c r="H18" s="47"/>
    </row>
    <row r="19" spans="1:13" s="48" customFormat="1">
      <c r="A19" s="60" t="s">
        <v>142</v>
      </c>
      <c r="B19" s="50" t="s">
        <v>336</v>
      </c>
      <c r="C19" s="45" t="s">
        <v>143</v>
      </c>
      <c r="D19" s="52" t="s">
        <v>144</v>
      </c>
      <c r="E19" s="45" t="s">
        <v>43</v>
      </c>
      <c r="F19" s="43">
        <f>6+6</f>
        <v>12</v>
      </c>
      <c r="G19" s="47"/>
      <c r="H19" s="47"/>
    </row>
    <row r="20" spans="1:13" s="48" customFormat="1">
      <c r="A20" s="60" t="s">
        <v>148</v>
      </c>
      <c r="B20" s="50" t="s">
        <v>336</v>
      </c>
      <c r="C20" s="45" t="s">
        <v>145</v>
      </c>
      <c r="D20" s="52" t="s">
        <v>146</v>
      </c>
      <c r="E20" s="45" t="s">
        <v>147</v>
      </c>
      <c r="F20" s="43">
        <f>F19*4</f>
        <v>48</v>
      </c>
      <c r="G20" s="47"/>
      <c r="H20" s="47"/>
    </row>
    <row r="21" spans="1:13" s="48" customFormat="1">
      <c r="A21" s="60" t="s">
        <v>150</v>
      </c>
      <c r="B21" s="50" t="s">
        <v>336</v>
      </c>
      <c r="C21" s="45" t="s">
        <v>149</v>
      </c>
      <c r="D21" s="52" t="s">
        <v>151</v>
      </c>
      <c r="E21" s="45" t="s">
        <v>40</v>
      </c>
      <c r="F21" s="43">
        <v>27.61</v>
      </c>
      <c r="G21" s="47"/>
      <c r="H21" s="47"/>
    </row>
    <row r="22" spans="1:13" s="48" customFormat="1">
      <c r="A22" s="60" t="s">
        <v>152</v>
      </c>
      <c r="B22" s="50" t="s">
        <v>336</v>
      </c>
      <c r="C22" s="45" t="s">
        <v>156</v>
      </c>
      <c r="D22" s="52" t="s">
        <v>157</v>
      </c>
      <c r="E22" s="45" t="s">
        <v>40</v>
      </c>
      <c r="F22" s="43">
        <f>((5.1+1.5+9.8+9.4+1.05)*2.2)</f>
        <v>59.07</v>
      </c>
      <c r="G22" s="47"/>
      <c r="H22" s="47"/>
    </row>
    <row r="23" spans="1:13" s="48" customFormat="1">
      <c r="A23" s="60" t="s">
        <v>158</v>
      </c>
      <c r="B23" s="50" t="s">
        <v>336</v>
      </c>
      <c r="C23" s="45" t="s">
        <v>153</v>
      </c>
      <c r="D23" s="52" t="s">
        <v>154</v>
      </c>
      <c r="E23" s="45" t="s">
        <v>155</v>
      </c>
      <c r="F23" s="43">
        <f>1*4</f>
        <v>4</v>
      </c>
      <c r="G23" s="47"/>
      <c r="H23" s="47"/>
    </row>
    <row r="24" spans="1:13">
      <c r="A24" s="2"/>
      <c r="B24" s="50"/>
      <c r="C24" s="7"/>
      <c r="D24" s="31" t="s">
        <v>51</v>
      </c>
      <c r="E24" s="7"/>
      <c r="F24" s="20"/>
      <c r="G24" s="17"/>
      <c r="H24" s="22"/>
    </row>
    <row r="25" spans="1:13">
      <c r="A25" s="11">
        <v>2</v>
      </c>
      <c r="B25" s="8"/>
      <c r="C25" s="8"/>
      <c r="D25" s="11" t="s">
        <v>65</v>
      </c>
      <c r="E25" s="14"/>
      <c r="F25" s="21"/>
      <c r="G25" s="19"/>
      <c r="H25" s="19"/>
      <c r="I25" s="24"/>
    </row>
    <row r="26" spans="1:13" s="48" customFormat="1" ht="29.25">
      <c r="A26" s="44" t="s">
        <v>11</v>
      </c>
      <c r="B26" s="50" t="s">
        <v>336</v>
      </c>
      <c r="C26" s="45" t="s">
        <v>103</v>
      </c>
      <c r="D26" s="52" t="s">
        <v>104</v>
      </c>
      <c r="E26" s="45" t="s">
        <v>41</v>
      </c>
      <c r="F26" s="43">
        <f>ROUND((8.54*2.2*0.2)+(9.4*2*0.2),2)</f>
        <v>7.52</v>
      </c>
      <c r="G26" s="47"/>
      <c r="H26" s="47"/>
    </row>
    <row r="27" spans="1:13" s="48" customFormat="1" ht="29.25">
      <c r="A27" s="44" t="s">
        <v>97</v>
      </c>
      <c r="B27" s="50" t="s">
        <v>336</v>
      </c>
      <c r="C27" s="45" t="s">
        <v>105</v>
      </c>
      <c r="D27" s="52" t="s">
        <v>106</v>
      </c>
      <c r="E27" s="45" t="s">
        <v>41</v>
      </c>
      <c r="F27" s="43">
        <f>ROUND((11.5*0.05)+(20.05*0.05),2)</f>
        <v>1.58</v>
      </c>
      <c r="G27" s="47"/>
      <c r="H27" s="47"/>
      <c r="I27" s="54"/>
    </row>
    <row r="28" spans="1:13" s="48" customFormat="1">
      <c r="A28" s="44" t="s">
        <v>98</v>
      </c>
      <c r="B28" s="50" t="s">
        <v>336</v>
      </c>
      <c r="C28" s="45" t="s">
        <v>269</v>
      </c>
      <c r="D28" s="52" t="s">
        <v>271</v>
      </c>
      <c r="E28" s="45" t="s">
        <v>40</v>
      </c>
      <c r="F28" s="43">
        <f>ROUND((6.35*5)*1.077+(5.26*4.28),2)</f>
        <v>56.71</v>
      </c>
      <c r="G28" s="47"/>
      <c r="H28" s="47"/>
      <c r="I28" s="54"/>
    </row>
    <row r="29" spans="1:13" s="48" customFormat="1">
      <c r="A29" s="44" t="s">
        <v>99</v>
      </c>
      <c r="B29" s="50" t="s">
        <v>336</v>
      </c>
      <c r="C29" s="45" t="s">
        <v>272</v>
      </c>
      <c r="D29" s="52" t="s">
        <v>273</v>
      </c>
      <c r="E29" s="45" t="s">
        <v>40</v>
      </c>
      <c r="F29" s="43">
        <f>31.42*1.077</f>
        <v>33.83934</v>
      </c>
      <c r="G29" s="47"/>
      <c r="H29" s="47"/>
    </row>
    <row r="30" spans="1:13" s="48" customFormat="1">
      <c r="A30" s="44" t="s">
        <v>100</v>
      </c>
      <c r="B30" s="50" t="s">
        <v>336</v>
      </c>
      <c r="C30" s="45" t="s">
        <v>274</v>
      </c>
      <c r="D30" s="52" t="s">
        <v>275</v>
      </c>
      <c r="E30" s="45" t="s">
        <v>40</v>
      </c>
      <c r="F30" s="43">
        <f>ROUND((1.2*2.05*3)+(1.2*3)+(1.5*0.8*2),2)</f>
        <v>13.38</v>
      </c>
      <c r="G30" s="47"/>
      <c r="H30" s="47"/>
      <c r="M30" s="57"/>
    </row>
    <row r="31" spans="1:13" s="48" customFormat="1">
      <c r="A31" s="44" t="s">
        <v>101</v>
      </c>
      <c r="B31" s="50" t="s">
        <v>336</v>
      </c>
      <c r="C31" s="45" t="s">
        <v>249</v>
      </c>
      <c r="D31" s="52" t="s">
        <v>250</v>
      </c>
      <c r="E31" s="45" t="s">
        <v>43</v>
      </c>
      <c r="F31" s="43">
        <f>ROUND(13.92,2)</f>
        <v>13.92</v>
      </c>
      <c r="G31" s="47"/>
      <c r="H31" s="47"/>
      <c r="M31" s="58"/>
    </row>
    <row r="32" spans="1:13" s="48" customFormat="1" ht="29.25">
      <c r="A32" s="44" t="s">
        <v>102</v>
      </c>
      <c r="B32" s="50" t="s">
        <v>336</v>
      </c>
      <c r="C32" s="45" t="s">
        <v>278</v>
      </c>
      <c r="D32" s="52" t="s">
        <v>475</v>
      </c>
      <c r="E32" s="45" t="s">
        <v>40</v>
      </c>
      <c r="F32" s="43">
        <f>((4.95+4.95+4.2+4.2+2.8+2.8+3.28+3.28+13.34)*1.5)</f>
        <v>65.7</v>
      </c>
      <c r="G32" s="47"/>
      <c r="H32" s="47"/>
      <c r="M32" s="59"/>
    </row>
    <row r="33" spans="1:13" s="48" customFormat="1">
      <c r="A33" s="44" t="s">
        <v>141</v>
      </c>
      <c r="B33" s="50" t="s">
        <v>336</v>
      </c>
      <c r="C33" s="45" t="s">
        <v>270</v>
      </c>
      <c r="D33" s="52" t="s">
        <v>280</v>
      </c>
      <c r="E33" s="45" t="s">
        <v>40</v>
      </c>
      <c r="F33" s="43">
        <f>(8.45+8.47+2.07+10.23+11.05)</f>
        <v>40.270000000000003</v>
      </c>
      <c r="G33" s="47"/>
      <c r="H33" s="47"/>
      <c r="M33" s="59"/>
    </row>
    <row r="34" spans="1:13" s="48" customFormat="1">
      <c r="A34" s="44" t="s">
        <v>298</v>
      </c>
      <c r="B34" s="50" t="s">
        <v>336</v>
      </c>
      <c r="C34" s="120" t="s">
        <v>297</v>
      </c>
      <c r="D34" s="52" t="s">
        <v>299</v>
      </c>
      <c r="E34" s="45" t="s">
        <v>40</v>
      </c>
      <c r="F34" s="43">
        <f>((1.5*0.8)*2+(1.2*3)+(2.1*0.9)*2)</f>
        <v>9.7800000000000011</v>
      </c>
      <c r="G34" s="47"/>
      <c r="H34" s="47"/>
      <c r="M34" s="59"/>
    </row>
    <row r="35" spans="1:13" s="48" customFormat="1" ht="29.25">
      <c r="A35" s="44" t="s">
        <v>309</v>
      </c>
      <c r="B35" s="50" t="s">
        <v>336</v>
      </c>
      <c r="C35" s="45" t="s">
        <v>310</v>
      </c>
      <c r="D35" s="52" t="s">
        <v>474</v>
      </c>
      <c r="E35" s="45" t="s">
        <v>161</v>
      </c>
      <c r="F35" s="43">
        <v>3</v>
      </c>
      <c r="G35" s="47"/>
      <c r="H35" s="47"/>
      <c r="M35" s="59"/>
    </row>
    <row r="36" spans="1:13" s="48" customFormat="1">
      <c r="A36" s="44" t="s">
        <v>321</v>
      </c>
      <c r="B36" s="50" t="s">
        <v>336</v>
      </c>
      <c r="C36" s="45" t="s">
        <v>320</v>
      </c>
      <c r="D36" s="52" t="s">
        <v>322</v>
      </c>
      <c r="E36" s="45" t="s">
        <v>43</v>
      </c>
      <c r="F36" s="43">
        <f>5+5.26</f>
        <v>10.26</v>
      </c>
      <c r="G36" s="47"/>
      <c r="H36" s="47"/>
      <c r="M36" s="59"/>
    </row>
    <row r="37" spans="1:13" s="48" customFormat="1" ht="29.25">
      <c r="A37" s="44" t="s">
        <v>327</v>
      </c>
      <c r="B37" s="50" t="s">
        <v>336</v>
      </c>
      <c r="C37" s="45" t="s">
        <v>326</v>
      </c>
      <c r="D37" s="52" t="s">
        <v>476</v>
      </c>
      <c r="E37" s="45" t="s">
        <v>40</v>
      </c>
      <c r="F37" s="43">
        <f>(13.33*2)+(23.73*1.5)+30.08</f>
        <v>92.334999999999994</v>
      </c>
      <c r="G37" s="47"/>
      <c r="H37" s="47"/>
      <c r="M37" s="59"/>
    </row>
    <row r="38" spans="1:13" s="48" customFormat="1" ht="29.25">
      <c r="A38" s="44" t="s">
        <v>479</v>
      </c>
      <c r="B38" s="50" t="s">
        <v>336</v>
      </c>
      <c r="C38" s="45" t="s">
        <v>477</v>
      </c>
      <c r="D38" s="52" t="s">
        <v>478</v>
      </c>
      <c r="E38" s="45" t="s">
        <v>41</v>
      </c>
      <c r="F38" s="43">
        <f>(40.65+26.04)*0.05</f>
        <v>3.3345000000000002</v>
      </c>
      <c r="G38" s="47"/>
      <c r="H38" s="47"/>
      <c r="M38" s="59"/>
    </row>
    <row r="39" spans="1:13">
      <c r="A39" s="13"/>
      <c r="B39" s="7"/>
      <c r="C39" s="7"/>
      <c r="D39" s="31" t="s">
        <v>52</v>
      </c>
      <c r="E39" s="7"/>
      <c r="F39" s="20"/>
      <c r="G39" s="17"/>
      <c r="H39" s="22"/>
      <c r="M39" s="42"/>
    </row>
    <row r="40" spans="1:13">
      <c r="A40" s="11">
        <v>3</v>
      </c>
      <c r="B40" s="8"/>
      <c r="C40" s="8"/>
      <c r="D40" s="11" t="s">
        <v>279</v>
      </c>
      <c r="E40" s="14"/>
      <c r="F40" s="21"/>
      <c r="G40" s="19"/>
      <c r="H40" s="18"/>
      <c r="I40" s="24"/>
      <c r="M40" s="24"/>
    </row>
    <row r="41" spans="1:13" s="48" customFormat="1" ht="29.25">
      <c r="A41" s="44" t="s">
        <v>12</v>
      </c>
      <c r="B41" s="50" t="s">
        <v>336</v>
      </c>
      <c r="C41" s="45" t="s">
        <v>340</v>
      </c>
      <c r="D41" s="52" t="s">
        <v>665</v>
      </c>
      <c r="E41" s="45" t="s">
        <v>43</v>
      </c>
      <c r="F41" s="43">
        <f>(14*3)</f>
        <v>42</v>
      </c>
      <c r="G41" s="47"/>
      <c r="H41" s="47"/>
      <c r="M41" s="53"/>
    </row>
    <row r="42" spans="1:13" s="48" customFormat="1">
      <c r="A42" s="44" t="s">
        <v>109</v>
      </c>
      <c r="B42" s="50" t="s">
        <v>336</v>
      </c>
      <c r="C42" s="45" t="s">
        <v>115</v>
      </c>
      <c r="D42" s="52" t="s">
        <v>666</v>
      </c>
      <c r="E42" s="45" t="s">
        <v>41</v>
      </c>
      <c r="F42" s="43">
        <f>(0.7*0.7*0.35*9)+((6.8+7.33+2.8+2.8+2.1+2.1+1.5+4.76)*0.2*0.3)</f>
        <v>3.3548999999999998</v>
      </c>
      <c r="G42" s="47"/>
      <c r="H42" s="47"/>
    </row>
    <row r="43" spans="1:13" s="48" customFormat="1" ht="29.25">
      <c r="A43" s="44" t="s">
        <v>110</v>
      </c>
      <c r="B43" s="50" t="s">
        <v>336</v>
      </c>
      <c r="C43" s="45" t="s">
        <v>47</v>
      </c>
      <c r="D43" s="52" t="s">
        <v>667</v>
      </c>
      <c r="E43" s="45" t="s">
        <v>41</v>
      </c>
      <c r="F43" s="43">
        <f>F42+F47</f>
        <v>7.6889000000000003</v>
      </c>
      <c r="G43" s="47"/>
      <c r="H43" s="47"/>
    </row>
    <row r="44" spans="1:13" s="48" customFormat="1">
      <c r="A44" s="44" t="s">
        <v>111</v>
      </c>
      <c r="B44" s="50" t="s">
        <v>336</v>
      </c>
      <c r="C44" s="45" t="s">
        <v>117</v>
      </c>
      <c r="D44" s="52" t="s">
        <v>668</v>
      </c>
      <c r="E44" s="45" t="s">
        <v>119</v>
      </c>
      <c r="F44" s="43">
        <f>3.35*80*0.8</f>
        <v>214.4</v>
      </c>
      <c r="G44" s="47"/>
      <c r="H44" s="47"/>
    </row>
    <row r="45" spans="1:13" s="48" customFormat="1">
      <c r="A45" s="44" t="s">
        <v>112</v>
      </c>
      <c r="B45" s="50" t="s">
        <v>336</v>
      </c>
      <c r="C45" s="45" t="s">
        <v>120</v>
      </c>
      <c r="D45" s="52" t="s">
        <v>669</v>
      </c>
      <c r="E45" s="45" t="s">
        <v>119</v>
      </c>
      <c r="F45" s="43">
        <f>3.35*80*0.2</f>
        <v>53.6</v>
      </c>
      <c r="G45" s="47"/>
      <c r="H45" s="47"/>
    </row>
    <row r="46" spans="1:13" s="48" customFormat="1" ht="29.25">
      <c r="A46" s="44" t="s">
        <v>113</v>
      </c>
      <c r="B46" s="50" t="s">
        <v>336</v>
      </c>
      <c r="C46" s="45" t="s">
        <v>48</v>
      </c>
      <c r="D46" s="52" t="s">
        <v>480</v>
      </c>
      <c r="E46" s="45" t="s">
        <v>41</v>
      </c>
      <c r="F46" s="43">
        <f>((6.8+7.33+2.8+2.8+2.1+2.1+1.5+4.76)*0.4*0.3)+(0.65*0.7*0.7*9)</f>
        <v>6.4893000000000001</v>
      </c>
      <c r="G46" s="47"/>
      <c r="H46" s="47"/>
    </row>
    <row r="47" spans="1:13" s="48" customFormat="1" ht="43.5">
      <c r="A47" s="44" t="s">
        <v>114</v>
      </c>
      <c r="B47" s="50" t="s">
        <v>336</v>
      </c>
      <c r="C47" s="45" t="s">
        <v>313</v>
      </c>
      <c r="D47" s="52" t="s">
        <v>483</v>
      </c>
      <c r="E47" s="45" t="s">
        <v>41</v>
      </c>
      <c r="F47" s="43">
        <f>(86.68*0.05)</f>
        <v>4.3340000000000005</v>
      </c>
      <c r="G47" s="47"/>
      <c r="H47" s="47"/>
    </row>
    <row r="48" spans="1:13" s="48" customFormat="1">
      <c r="A48" s="44" t="s">
        <v>482</v>
      </c>
      <c r="B48" s="50" t="s">
        <v>336</v>
      </c>
      <c r="C48" s="45" t="s">
        <v>481</v>
      </c>
      <c r="D48" s="52" t="s">
        <v>484</v>
      </c>
      <c r="E48" s="45" t="s">
        <v>41</v>
      </c>
      <c r="F48" s="43">
        <f>(0.7*0.7*9*0.03)+(6.8+7.33+2.8+2.8+2.2+2.1+1.5+4.76)*0.4*0.03</f>
        <v>0.49577999999999994</v>
      </c>
      <c r="G48" s="47"/>
      <c r="H48" s="47"/>
    </row>
    <row r="49" spans="1:10" s="48" customFormat="1">
      <c r="A49" s="44" t="s">
        <v>594</v>
      </c>
      <c r="B49" s="50" t="s">
        <v>336</v>
      </c>
      <c r="C49" s="45" t="s">
        <v>593</v>
      </c>
      <c r="D49" s="52" t="s">
        <v>592</v>
      </c>
      <c r="E49" s="45" t="s">
        <v>40</v>
      </c>
      <c r="F49" s="43">
        <f>(6.8+7.33+2.8+2.8+2.1+2.1+1.5+4.76)*2*0.3</f>
        <v>18.114000000000001</v>
      </c>
      <c r="G49" s="47"/>
      <c r="H49" s="47"/>
    </row>
    <row r="50" spans="1:10">
      <c r="A50" s="13"/>
      <c r="B50" s="7"/>
      <c r="C50" s="7"/>
      <c r="D50" s="31" t="s">
        <v>53</v>
      </c>
      <c r="E50" s="7"/>
      <c r="F50" s="20"/>
      <c r="G50" s="17"/>
      <c r="H50" s="22"/>
    </row>
    <row r="51" spans="1:10">
      <c r="A51" s="11">
        <v>4</v>
      </c>
      <c r="B51" s="8"/>
      <c r="C51" s="8"/>
      <c r="D51" s="11" t="s">
        <v>35</v>
      </c>
      <c r="E51" s="14"/>
      <c r="F51" s="21"/>
      <c r="G51" s="19"/>
      <c r="H51" s="18"/>
    </row>
    <row r="52" spans="1:10" s="48" customFormat="1">
      <c r="A52" s="44" t="s">
        <v>13</v>
      </c>
      <c r="B52" s="50" t="s">
        <v>336</v>
      </c>
      <c r="C52" s="45" t="s">
        <v>122</v>
      </c>
      <c r="D52" s="52" t="s">
        <v>485</v>
      </c>
      <c r="E52" s="45" t="s">
        <v>41</v>
      </c>
      <c r="F52" s="43">
        <f>((6.8+7.33+(2.8*2)+1.5+4.76)*0.15*0.25)+((1.5+2.57)*0.15*0.22)+(0.15*0.22*2.9*14)</f>
        <v>2.4487350000000001</v>
      </c>
      <c r="G52" s="47"/>
      <c r="H52" s="47"/>
      <c r="I52" s="132"/>
    </row>
    <row r="53" spans="1:10" s="48" customFormat="1">
      <c r="A53" s="44" t="s">
        <v>14</v>
      </c>
      <c r="B53" s="50" t="s">
        <v>336</v>
      </c>
      <c r="C53" s="45" t="s">
        <v>117</v>
      </c>
      <c r="D53" s="52" t="s">
        <v>118</v>
      </c>
      <c r="E53" s="45" t="s">
        <v>119</v>
      </c>
      <c r="F53" s="43">
        <f>(F52*90*0.8)</f>
        <v>176.30892000000003</v>
      </c>
      <c r="G53" s="47"/>
      <c r="H53" s="47"/>
    </row>
    <row r="54" spans="1:10" s="48" customFormat="1">
      <c r="A54" s="44" t="s">
        <v>15</v>
      </c>
      <c r="B54" s="50" t="s">
        <v>336</v>
      </c>
      <c r="C54" s="45" t="s">
        <v>120</v>
      </c>
      <c r="D54" s="52" t="s">
        <v>121</v>
      </c>
      <c r="E54" s="45" t="s">
        <v>119</v>
      </c>
      <c r="F54" s="43">
        <f>(F52*90*0.2)</f>
        <v>44.077230000000007</v>
      </c>
      <c r="G54" s="47"/>
      <c r="H54" s="47"/>
    </row>
    <row r="55" spans="1:10" s="48" customFormat="1">
      <c r="A55" s="44" t="s">
        <v>42</v>
      </c>
      <c r="B55" s="50" t="s">
        <v>336</v>
      </c>
      <c r="C55" s="45" t="s">
        <v>123</v>
      </c>
      <c r="D55" s="52" t="s">
        <v>486</v>
      </c>
      <c r="E55" s="45" t="s">
        <v>40</v>
      </c>
      <c r="F55" s="43">
        <f>(((6.8+7.33+(2.8*2)+1.5+4.76)*0.3*2))+(((1.5+2.57)*0.15*0.22)*0.3*2)+(2.9*2*0.3*14)</f>
        <v>40.034585999999997</v>
      </c>
      <c r="G55" s="47"/>
      <c r="H55" s="47"/>
      <c r="J55" s="53"/>
    </row>
    <row r="56" spans="1:10" s="48" customFormat="1" ht="29.25">
      <c r="A56" s="44" t="s">
        <v>44</v>
      </c>
      <c r="B56" s="50" t="s">
        <v>336</v>
      </c>
      <c r="C56" s="45" t="s">
        <v>47</v>
      </c>
      <c r="D56" s="52" t="s">
        <v>116</v>
      </c>
      <c r="E56" s="45" t="s">
        <v>41</v>
      </c>
      <c r="F56" s="43">
        <f>F52</f>
        <v>2.4487350000000001</v>
      </c>
      <c r="G56" s="47"/>
      <c r="H56" s="47"/>
    </row>
    <row r="57" spans="1:10" s="48" customFormat="1" ht="29.25">
      <c r="A57" s="44" t="s">
        <v>128</v>
      </c>
      <c r="B57" s="50" t="s">
        <v>336</v>
      </c>
      <c r="C57" s="45" t="s">
        <v>131</v>
      </c>
      <c r="D57" s="52" t="s">
        <v>132</v>
      </c>
      <c r="E57" s="45" t="s">
        <v>40</v>
      </c>
      <c r="F57" s="43">
        <f>10.12+13.77</f>
        <v>23.89</v>
      </c>
      <c r="G57" s="47"/>
      <c r="H57" s="47"/>
    </row>
    <row r="58" spans="1:10">
      <c r="A58" s="13"/>
      <c r="B58" s="50"/>
      <c r="C58" s="7"/>
      <c r="D58" s="31" t="s">
        <v>54</v>
      </c>
      <c r="F58" s="20"/>
      <c r="G58" s="17"/>
      <c r="H58" s="22"/>
    </row>
    <row r="59" spans="1:10">
      <c r="A59" s="11">
        <v>5</v>
      </c>
      <c r="B59" s="8"/>
      <c r="C59" s="8"/>
      <c r="D59" s="11" t="s">
        <v>137</v>
      </c>
      <c r="E59" s="14"/>
      <c r="F59" s="21"/>
      <c r="G59" s="19"/>
      <c r="H59" s="18"/>
    </row>
    <row r="60" spans="1:10" s="48" customFormat="1">
      <c r="A60" s="44" t="s">
        <v>17</v>
      </c>
      <c r="B60" s="50" t="s">
        <v>336</v>
      </c>
      <c r="C60" s="45" t="s">
        <v>124</v>
      </c>
      <c r="D60" s="52" t="s">
        <v>125</v>
      </c>
      <c r="E60" s="45" t="s">
        <v>41</v>
      </c>
      <c r="F60" s="43">
        <f>((6.8+7.33+2.8+2.8+2.1+2.1+1.5+4.76)*0.2*0.2)</f>
        <v>1.2076000000000002</v>
      </c>
      <c r="G60" s="47"/>
      <c r="H60" s="47"/>
    </row>
    <row r="61" spans="1:10" s="48" customFormat="1">
      <c r="A61" s="44" t="s">
        <v>18</v>
      </c>
      <c r="B61" s="50" t="s">
        <v>336</v>
      </c>
      <c r="C61" s="45" t="s">
        <v>126</v>
      </c>
      <c r="D61" s="52" t="s">
        <v>127</v>
      </c>
      <c r="E61" s="45" t="s">
        <v>40</v>
      </c>
      <c r="F61" s="43">
        <f>((6.8+7.33+2.8+2.8+2.1+2.1+1.5+4.76)*2.53)</f>
        <v>76.380700000000004</v>
      </c>
      <c r="G61" s="47"/>
      <c r="H61" s="47"/>
    </row>
    <row r="62" spans="1:10" s="48" customFormat="1">
      <c r="A62" s="44" t="s">
        <v>19</v>
      </c>
      <c r="B62" s="50" t="s">
        <v>336</v>
      </c>
      <c r="C62" s="45" t="s">
        <v>314</v>
      </c>
      <c r="D62" s="52" t="s">
        <v>316</v>
      </c>
      <c r="E62" s="45" t="s">
        <v>40</v>
      </c>
      <c r="F62" s="43">
        <f>(2+2+1.2+1.2)*0.4</f>
        <v>2.5600000000000005</v>
      </c>
      <c r="G62" s="47"/>
      <c r="H62" s="47"/>
    </row>
    <row r="63" spans="1:10" s="48" customFormat="1">
      <c r="A63" s="44" t="s">
        <v>315</v>
      </c>
      <c r="B63" s="50" t="s">
        <v>336</v>
      </c>
      <c r="C63" s="45" t="s">
        <v>138</v>
      </c>
      <c r="D63" s="52" t="s">
        <v>139</v>
      </c>
      <c r="E63" s="45" t="s">
        <v>40</v>
      </c>
      <c r="F63" s="43">
        <f>ROUND((2.59*4)+(0.5*6*2)+(0.45*1.2*3),2)</f>
        <v>17.98</v>
      </c>
      <c r="G63" s="47"/>
      <c r="H63" s="47"/>
    </row>
    <row r="64" spans="1:10" s="48" customFormat="1">
      <c r="A64" s="44" t="s">
        <v>318</v>
      </c>
      <c r="B64" s="50" t="s">
        <v>336</v>
      </c>
      <c r="C64" s="45" t="s">
        <v>317</v>
      </c>
      <c r="D64" s="52" t="s">
        <v>319</v>
      </c>
      <c r="E64" s="45" t="s">
        <v>41</v>
      </c>
      <c r="F64" s="43">
        <f>(2.8+0.18+2.58+7.33+(1.42*2)+2.1+1.475)*0.14*0.2</f>
        <v>0.54054000000000013</v>
      </c>
      <c r="G64" s="47"/>
      <c r="H64" s="47"/>
      <c r="I64" s="133"/>
    </row>
    <row r="65" spans="1:9">
      <c r="A65" s="13"/>
      <c r="B65" s="50"/>
      <c r="C65" s="7"/>
      <c r="D65" s="31" t="s">
        <v>55</v>
      </c>
      <c r="E65" s="7"/>
      <c r="F65" s="20"/>
      <c r="G65" s="17"/>
      <c r="H65" s="22"/>
    </row>
    <row r="66" spans="1:9">
      <c r="A66" s="11">
        <v>6</v>
      </c>
      <c r="B66" s="8"/>
      <c r="C66" s="8"/>
      <c r="D66" s="11" t="s">
        <v>16</v>
      </c>
      <c r="E66" s="14"/>
      <c r="F66" s="21"/>
      <c r="G66" s="19"/>
      <c r="H66" s="18"/>
      <c r="I66" s="24"/>
    </row>
    <row r="67" spans="1:9" s="48" customFormat="1">
      <c r="A67" s="44" t="s">
        <v>20</v>
      </c>
      <c r="B67" s="50" t="s">
        <v>336</v>
      </c>
      <c r="C67" s="45" t="s">
        <v>262</v>
      </c>
      <c r="D67" s="52" t="s">
        <v>263</v>
      </c>
      <c r="E67" s="45" t="s">
        <v>40</v>
      </c>
      <c r="F67" s="43">
        <f>(64.51*1.077)</f>
        <v>69.477270000000004</v>
      </c>
      <c r="G67" s="47"/>
      <c r="H67" s="47"/>
    </row>
    <row r="68" spans="1:9" s="48" customFormat="1">
      <c r="A68" s="44" t="s">
        <v>21</v>
      </c>
      <c r="B68" s="50" t="s">
        <v>336</v>
      </c>
      <c r="C68" s="45" t="s">
        <v>264</v>
      </c>
      <c r="D68" s="56" t="s">
        <v>265</v>
      </c>
      <c r="E68" s="45" t="s">
        <v>40</v>
      </c>
      <c r="F68" s="43">
        <f>(64.51*1.077)</f>
        <v>69.477270000000004</v>
      </c>
      <c r="G68" s="47"/>
      <c r="H68" s="47"/>
    </row>
    <row r="69" spans="1:9" s="48" customFormat="1" ht="17.25" customHeight="1">
      <c r="A69" s="44" t="s">
        <v>247</v>
      </c>
      <c r="B69" s="50" t="s">
        <v>336</v>
      </c>
      <c r="C69" s="45" t="s">
        <v>266</v>
      </c>
      <c r="D69" s="46" t="s">
        <v>267</v>
      </c>
      <c r="E69" s="45" t="s">
        <v>43</v>
      </c>
      <c r="F69" s="43">
        <f>7.9</f>
        <v>7.9</v>
      </c>
      <c r="G69" s="47"/>
      <c r="H69" s="47"/>
    </row>
    <row r="70" spans="1:9" s="48" customFormat="1">
      <c r="A70" s="44" t="s">
        <v>248</v>
      </c>
      <c r="B70" s="50" t="s">
        <v>336</v>
      </c>
      <c r="C70" s="45" t="s">
        <v>487</v>
      </c>
      <c r="D70" s="46" t="s">
        <v>488</v>
      </c>
      <c r="E70" s="45" t="s">
        <v>43</v>
      </c>
      <c r="F70" s="43">
        <f>ROUND((8.1*1.077),2)</f>
        <v>8.7200000000000006</v>
      </c>
      <c r="G70" s="47"/>
      <c r="H70" s="47"/>
    </row>
    <row r="71" spans="1:9" s="48" customFormat="1">
      <c r="A71" s="44" t="s">
        <v>261</v>
      </c>
      <c r="B71" s="50" t="s">
        <v>336</v>
      </c>
      <c r="C71" s="45" t="s">
        <v>129</v>
      </c>
      <c r="D71" s="46" t="s">
        <v>130</v>
      </c>
      <c r="E71" s="45" t="s">
        <v>43</v>
      </c>
      <c r="F71" s="43">
        <f>ROUND(F31+(8.72*4),2)</f>
        <v>48.8</v>
      </c>
      <c r="G71" s="47"/>
      <c r="H71" s="47"/>
    </row>
    <row r="72" spans="1:9" s="48" customFormat="1">
      <c r="A72" s="44" t="s">
        <v>301</v>
      </c>
      <c r="B72" s="50" t="s">
        <v>336</v>
      </c>
      <c r="C72" s="45" t="s">
        <v>300</v>
      </c>
      <c r="D72" s="46" t="s">
        <v>302</v>
      </c>
      <c r="E72" s="45" t="s">
        <v>40</v>
      </c>
      <c r="F72" s="43">
        <f>(5.26*4.28)</f>
        <v>22.512800000000002</v>
      </c>
      <c r="G72" s="47"/>
      <c r="H72" s="47"/>
    </row>
    <row r="73" spans="1:9" s="48" customFormat="1">
      <c r="A73" s="44" t="s">
        <v>304</v>
      </c>
      <c r="B73" s="50" t="s">
        <v>336</v>
      </c>
      <c r="C73" s="45" t="s">
        <v>303</v>
      </c>
      <c r="D73" s="46" t="s">
        <v>305</v>
      </c>
      <c r="E73" s="45" t="s">
        <v>43</v>
      </c>
      <c r="F73" s="43">
        <f>ROUND((5.26),2)</f>
        <v>5.26</v>
      </c>
      <c r="G73" s="47"/>
      <c r="H73" s="47"/>
    </row>
    <row r="74" spans="1:9" s="48" customFormat="1">
      <c r="A74" s="44"/>
      <c r="B74" s="45"/>
      <c r="C74" s="45"/>
      <c r="D74" s="134" t="s">
        <v>56</v>
      </c>
      <c r="E74" s="45"/>
      <c r="F74" s="43"/>
      <c r="G74" s="47"/>
      <c r="H74" s="135"/>
    </row>
    <row r="75" spans="1:9">
      <c r="A75" s="11">
        <v>7</v>
      </c>
      <c r="B75" s="8"/>
      <c r="C75" s="14"/>
      <c r="D75" s="11" t="s">
        <v>66</v>
      </c>
      <c r="E75" s="14"/>
      <c r="F75" s="14"/>
      <c r="G75" s="19"/>
      <c r="H75" s="18"/>
      <c r="I75" s="24"/>
    </row>
    <row r="76" spans="1:9" ht="29.25">
      <c r="A76" s="13" t="s">
        <v>22</v>
      </c>
      <c r="B76" s="50" t="s">
        <v>336</v>
      </c>
      <c r="C76" s="7" t="s">
        <v>133</v>
      </c>
      <c r="D76" s="40" t="s">
        <v>505</v>
      </c>
      <c r="E76" s="7" t="s">
        <v>40</v>
      </c>
      <c r="F76" s="20">
        <f>ROUND((5.95+5.96+6.59+3.15+3.13+11.14),2)</f>
        <v>35.92</v>
      </c>
      <c r="G76" s="17"/>
      <c r="H76" s="17"/>
    </row>
    <row r="77" spans="1:9" ht="29.25">
      <c r="A77" s="13" t="s">
        <v>23</v>
      </c>
      <c r="B77" s="50" t="s">
        <v>336</v>
      </c>
      <c r="C77" s="7" t="s">
        <v>506</v>
      </c>
      <c r="D77" s="40" t="s">
        <v>507</v>
      </c>
      <c r="E77" s="7" t="s">
        <v>40</v>
      </c>
      <c r="F77" s="20">
        <f>ROUND((14.89+13.55)+(48.49*1.077),2)</f>
        <v>80.66</v>
      </c>
      <c r="G77" s="17"/>
      <c r="H77" s="17"/>
    </row>
    <row r="78" spans="1:9">
      <c r="A78" s="13"/>
      <c r="B78" s="7"/>
      <c r="C78" s="7"/>
      <c r="D78" s="32" t="s">
        <v>57</v>
      </c>
      <c r="E78" s="7"/>
      <c r="F78" s="20"/>
      <c r="G78" s="17"/>
      <c r="H78" s="22"/>
    </row>
    <row r="79" spans="1:9">
      <c r="A79" s="11">
        <v>8</v>
      </c>
      <c r="B79" s="8"/>
      <c r="C79" s="14"/>
      <c r="D79" s="11" t="s">
        <v>67</v>
      </c>
      <c r="E79" s="14"/>
      <c r="F79" s="14"/>
      <c r="G79" s="19"/>
      <c r="H79" s="18"/>
      <c r="I79" s="24"/>
    </row>
    <row r="80" spans="1:9" s="48" customFormat="1">
      <c r="A80" s="44" t="s">
        <v>24</v>
      </c>
      <c r="B80" s="50" t="s">
        <v>336</v>
      </c>
      <c r="C80" s="45" t="s">
        <v>134</v>
      </c>
      <c r="D80" s="44" t="s">
        <v>135</v>
      </c>
      <c r="E80" s="45" t="s">
        <v>40</v>
      </c>
      <c r="F80" s="43">
        <f>ROUND(F82+F81,2)</f>
        <v>497.71</v>
      </c>
      <c r="G80" s="47"/>
      <c r="H80" s="47"/>
    </row>
    <row r="81" spans="1:9" s="48" customFormat="1" ht="29.25">
      <c r="A81" s="44" t="s">
        <v>36</v>
      </c>
      <c r="B81" s="50" t="s">
        <v>336</v>
      </c>
      <c r="C81" s="45" t="s">
        <v>323</v>
      </c>
      <c r="D81" s="52" t="s">
        <v>509</v>
      </c>
      <c r="E81" s="45" t="s">
        <v>40</v>
      </c>
      <c r="F81" s="43">
        <f>((2.96+6.78+7.33+2.57+1.68+12.88)*2.78)+(20.68)+((1.31+40)*4.19)</f>
        <v>288.84490000000005</v>
      </c>
      <c r="G81" s="47"/>
      <c r="H81" s="47"/>
    </row>
    <row r="82" spans="1:9" s="48" customFormat="1">
      <c r="A82" s="44" t="s">
        <v>37</v>
      </c>
      <c r="B82" s="50" t="s">
        <v>336</v>
      </c>
      <c r="C82" s="45" t="s">
        <v>136</v>
      </c>
      <c r="D82" s="52" t="s">
        <v>508</v>
      </c>
      <c r="E82" s="45" t="s">
        <v>40</v>
      </c>
      <c r="F82" s="43">
        <f>(11.86+16.03+9.74+9.79+7.2+7.17+13.34)*2.78</f>
        <v>208.8614</v>
      </c>
      <c r="G82" s="47"/>
      <c r="H82" s="47"/>
    </row>
    <row r="83" spans="1:9" s="48" customFormat="1" ht="59.25" customHeight="1">
      <c r="A83" s="44" t="s">
        <v>38</v>
      </c>
      <c r="B83" s="50" t="s">
        <v>336</v>
      </c>
      <c r="C83" s="67" t="s">
        <v>465</v>
      </c>
      <c r="D83" s="52" t="s">
        <v>464</v>
      </c>
      <c r="E83" s="45" t="s">
        <v>40</v>
      </c>
      <c r="F83" s="43">
        <f>133.71</f>
        <v>133.71</v>
      </c>
      <c r="G83" s="47"/>
      <c r="H83" s="47"/>
    </row>
    <row r="84" spans="1:9" s="48" customFormat="1" ht="45.75" customHeight="1">
      <c r="A84" s="44" t="s">
        <v>39</v>
      </c>
      <c r="B84" s="50" t="s">
        <v>336</v>
      </c>
      <c r="C84" s="67" t="s">
        <v>467</v>
      </c>
      <c r="D84" s="52" t="s">
        <v>466</v>
      </c>
      <c r="E84" s="45" t="s">
        <v>43</v>
      </c>
      <c r="F84" s="68">
        <v>90.54</v>
      </c>
      <c r="G84" s="47"/>
      <c r="H84" s="47"/>
    </row>
    <row r="85" spans="1:9" s="48" customFormat="1" ht="31.5" customHeight="1">
      <c r="A85" s="44" t="s">
        <v>296</v>
      </c>
      <c r="B85" s="121" t="s">
        <v>336</v>
      </c>
      <c r="C85" s="45" t="s">
        <v>438</v>
      </c>
      <c r="D85" s="131" t="s">
        <v>452</v>
      </c>
      <c r="E85" s="45" t="s">
        <v>40</v>
      </c>
      <c r="F85" s="43">
        <f>75.2*2</f>
        <v>150.4</v>
      </c>
      <c r="G85" s="47"/>
      <c r="H85" s="47"/>
    </row>
    <row r="86" spans="1:9" s="48" customFormat="1">
      <c r="A86" s="44" t="s">
        <v>324</v>
      </c>
      <c r="B86" s="50" t="s">
        <v>336</v>
      </c>
      <c r="C86" s="45" t="s">
        <v>341</v>
      </c>
      <c r="D86" s="52" t="s">
        <v>140</v>
      </c>
      <c r="E86" s="45" t="s">
        <v>43</v>
      </c>
      <c r="F86" s="43">
        <f>ROUND(0.9*4,2)</f>
        <v>3.6</v>
      </c>
      <c r="G86" s="47"/>
      <c r="H86" s="47"/>
    </row>
    <row r="87" spans="1:9">
      <c r="A87" s="13"/>
      <c r="B87" s="7"/>
      <c r="C87" s="7"/>
      <c r="D87" s="33" t="s">
        <v>58</v>
      </c>
      <c r="E87" s="7"/>
      <c r="F87" s="20"/>
      <c r="G87" s="17"/>
      <c r="H87" s="22"/>
    </row>
    <row r="88" spans="1:9">
      <c r="A88" s="11">
        <v>9</v>
      </c>
      <c r="B88" s="14"/>
      <c r="C88" s="14"/>
      <c r="D88" s="11" t="s">
        <v>68</v>
      </c>
      <c r="E88" s="14"/>
      <c r="F88" s="14"/>
      <c r="G88" s="19"/>
      <c r="H88" s="18"/>
      <c r="I88" s="24"/>
    </row>
    <row r="89" spans="1:9" s="48" customFormat="1">
      <c r="A89" s="44" t="s">
        <v>25</v>
      </c>
      <c r="B89" s="50" t="s">
        <v>336</v>
      </c>
      <c r="C89" s="45" t="s">
        <v>511</v>
      </c>
      <c r="D89" s="52" t="s">
        <v>510</v>
      </c>
      <c r="E89" s="45" t="s">
        <v>40</v>
      </c>
      <c r="F89" s="43">
        <f>ROUND((30.19*0.8*0.02),2)</f>
        <v>0.48</v>
      </c>
      <c r="G89" s="47"/>
      <c r="H89" s="47"/>
    </row>
    <row r="90" spans="1:9" s="48" customFormat="1" ht="15" customHeight="1">
      <c r="A90" s="44" t="s">
        <v>325</v>
      </c>
      <c r="B90" s="50" t="s">
        <v>336</v>
      </c>
      <c r="C90" s="45" t="s">
        <v>343</v>
      </c>
      <c r="D90" s="52" t="s">
        <v>342</v>
      </c>
      <c r="E90" s="45" t="s">
        <v>40</v>
      </c>
      <c r="F90" s="43">
        <f>30.19*0.8</f>
        <v>24.152000000000001</v>
      </c>
      <c r="G90" s="47"/>
      <c r="H90" s="47"/>
    </row>
    <row r="91" spans="1:9">
      <c r="A91" s="13"/>
      <c r="B91" s="7"/>
      <c r="C91" s="7"/>
      <c r="D91" s="34" t="s">
        <v>59</v>
      </c>
      <c r="E91" s="7"/>
      <c r="F91" s="20"/>
      <c r="G91" s="17"/>
      <c r="H91" s="22"/>
    </row>
    <row r="92" spans="1:9">
      <c r="A92" s="11">
        <v>10</v>
      </c>
      <c r="B92" s="14"/>
      <c r="C92" s="14"/>
      <c r="D92" s="11" t="s">
        <v>72</v>
      </c>
      <c r="E92" s="14"/>
      <c r="F92" s="14"/>
      <c r="G92" s="19"/>
      <c r="H92" s="18"/>
      <c r="I92" s="24"/>
    </row>
    <row r="93" spans="1:9" s="48" customFormat="1">
      <c r="A93" s="44" t="s">
        <v>654</v>
      </c>
      <c r="B93" s="50" t="s">
        <v>336</v>
      </c>
      <c r="C93" s="45" t="s">
        <v>281</v>
      </c>
      <c r="D93" s="52" t="s">
        <v>512</v>
      </c>
      <c r="E93" s="45" t="s">
        <v>40</v>
      </c>
      <c r="F93" s="43">
        <f>3.84+1.6+1.2</f>
        <v>6.64</v>
      </c>
      <c r="G93" s="47"/>
      <c r="H93" s="47"/>
    </row>
    <row r="94" spans="1:9" s="48" customFormat="1">
      <c r="A94" s="44" t="s">
        <v>26</v>
      </c>
      <c r="B94" s="50" t="s">
        <v>336</v>
      </c>
      <c r="C94" s="45" t="s">
        <v>282</v>
      </c>
      <c r="D94" s="52" t="s">
        <v>513</v>
      </c>
      <c r="E94" s="45" t="s">
        <v>40</v>
      </c>
      <c r="F94" s="43">
        <f>3.84+1.2+1.6+7.38+(1.2*2)</f>
        <v>16.419999999999998</v>
      </c>
      <c r="G94" s="47"/>
      <c r="H94" s="47"/>
    </row>
    <row r="95" spans="1:9" s="48" customFormat="1" ht="43.5">
      <c r="A95" s="44" t="s">
        <v>69</v>
      </c>
      <c r="B95" s="50" t="s">
        <v>336</v>
      </c>
      <c r="C95" s="45" t="s">
        <v>159</v>
      </c>
      <c r="D95" s="52" t="s">
        <v>160</v>
      </c>
      <c r="E95" s="45" t="s">
        <v>161</v>
      </c>
      <c r="F95" s="43">
        <v>2</v>
      </c>
      <c r="G95" s="47"/>
      <c r="H95" s="47"/>
    </row>
    <row r="96" spans="1:9" s="48" customFormat="1" ht="29.25">
      <c r="A96" s="44" t="s">
        <v>70</v>
      </c>
      <c r="B96" s="50" t="s">
        <v>336</v>
      </c>
      <c r="C96" s="45" t="s">
        <v>328</v>
      </c>
      <c r="D96" s="52" t="s">
        <v>329</v>
      </c>
      <c r="E96" s="45" t="s">
        <v>161</v>
      </c>
      <c r="F96" s="43">
        <v>2</v>
      </c>
      <c r="G96" s="47"/>
      <c r="H96" s="47"/>
    </row>
    <row r="97" spans="1:9" s="48" customFormat="1" ht="29.25">
      <c r="A97" s="44" t="s">
        <v>71</v>
      </c>
      <c r="B97" s="50" t="s">
        <v>336</v>
      </c>
      <c r="C97" s="45" t="s">
        <v>162</v>
      </c>
      <c r="D97" s="52" t="s">
        <v>163</v>
      </c>
      <c r="E97" s="45" t="s">
        <v>161</v>
      </c>
      <c r="F97" s="43">
        <v>6</v>
      </c>
      <c r="G97" s="47"/>
      <c r="H97" s="47"/>
    </row>
    <row r="98" spans="1:9" s="48" customFormat="1">
      <c r="A98" s="44" t="s">
        <v>307</v>
      </c>
      <c r="B98" s="50" t="s">
        <v>336</v>
      </c>
      <c r="C98" s="45" t="s">
        <v>306</v>
      </c>
      <c r="D98" s="52" t="s">
        <v>514</v>
      </c>
      <c r="E98" s="45" t="s">
        <v>40</v>
      </c>
      <c r="F98" s="43">
        <f>1.2*3</f>
        <v>3.5999999999999996</v>
      </c>
      <c r="G98" s="47"/>
      <c r="H98" s="47"/>
    </row>
    <row r="99" spans="1:9" s="48" customFormat="1">
      <c r="A99" s="44" t="s">
        <v>312</v>
      </c>
      <c r="B99" s="50" t="s">
        <v>336</v>
      </c>
      <c r="C99" s="45" t="s">
        <v>311</v>
      </c>
      <c r="D99" s="52" t="s">
        <v>515</v>
      </c>
      <c r="E99" s="45" t="s">
        <v>161</v>
      </c>
      <c r="F99" s="43">
        <v>4</v>
      </c>
      <c r="G99" s="47"/>
      <c r="H99" s="47"/>
    </row>
    <row r="100" spans="1:9">
      <c r="A100" s="13"/>
      <c r="B100" s="7"/>
      <c r="C100" s="7"/>
      <c r="D100" s="31" t="s">
        <v>60</v>
      </c>
      <c r="E100" s="7"/>
      <c r="F100" s="25"/>
      <c r="G100" s="17"/>
      <c r="H100" s="22"/>
    </row>
    <row r="101" spans="1:9">
      <c r="A101" s="11">
        <v>11</v>
      </c>
      <c r="B101" s="14"/>
      <c r="C101" s="14"/>
      <c r="D101" s="11" t="s">
        <v>33</v>
      </c>
      <c r="E101" s="14"/>
      <c r="F101" s="14"/>
      <c r="G101" s="19"/>
      <c r="H101" s="18"/>
    </row>
    <row r="102" spans="1:9" s="48" customFormat="1">
      <c r="A102" s="44" t="s">
        <v>27</v>
      </c>
      <c r="B102" s="50" t="s">
        <v>336</v>
      </c>
      <c r="C102" s="45" t="s">
        <v>174</v>
      </c>
      <c r="D102" s="52" t="s">
        <v>516</v>
      </c>
      <c r="E102" s="45" t="s">
        <v>40</v>
      </c>
      <c r="F102" s="43">
        <f>(((14.71+14.71+7.28)*4.19)+(((7.28*2)*2.36)/2)+((7.33+7.33+6.8)*2.78))</f>
        <v>230.61260000000004</v>
      </c>
      <c r="G102" s="47"/>
      <c r="H102" s="47"/>
    </row>
    <row r="103" spans="1:9" s="48" customFormat="1">
      <c r="A103" s="44" t="s">
        <v>28</v>
      </c>
      <c r="B103" s="50" t="s">
        <v>336</v>
      </c>
      <c r="C103" s="45" t="s">
        <v>276</v>
      </c>
      <c r="D103" s="52" t="s">
        <v>277</v>
      </c>
      <c r="E103" s="45" t="s">
        <v>43</v>
      </c>
      <c r="F103" s="43">
        <v>25.16</v>
      </c>
      <c r="G103" s="47"/>
      <c r="H103" s="47"/>
    </row>
    <row r="104" spans="1:9" s="48" customFormat="1">
      <c r="A104" s="44" t="s">
        <v>49</v>
      </c>
      <c r="B104" s="50" t="s">
        <v>336</v>
      </c>
      <c r="C104" s="45" t="s">
        <v>285</v>
      </c>
      <c r="D104" s="52" t="s">
        <v>517</v>
      </c>
      <c r="E104" s="45" t="s">
        <v>40</v>
      </c>
      <c r="F104" s="43">
        <f>ROUND(F81+(60.97+263.18+31.72),2)</f>
        <v>644.71</v>
      </c>
      <c r="G104" s="47"/>
      <c r="H104" s="47"/>
    </row>
    <row r="105" spans="1:9" s="48" customFormat="1" ht="43.5">
      <c r="A105" s="44" t="s">
        <v>50</v>
      </c>
      <c r="B105" s="50" t="s">
        <v>336</v>
      </c>
      <c r="C105" s="45" t="s">
        <v>286</v>
      </c>
      <c r="D105" s="52" t="s">
        <v>530</v>
      </c>
      <c r="E105" s="45" t="s">
        <v>40</v>
      </c>
      <c r="F105" s="43">
        <f>((0.9*2.1)*7*2)+((1.2*3)*2)+F77+(F70*0.2)</f>
        <v>116.06399999999999</v>
      </c>
      <c r="G105" s="47"/>
      <c r="H105" s="47"/>
      <c r="I105" s="132"/>
    </row>
    <row r="106" spans="1:9" s="48" customFormat="1" ht="29.25">
      <c r="A106" s="44" t="s">
        <v>176</v>
      </c>
      <c r="B106" s="50" t="s">
        <v>336</v>
      </c>
      <c r="C106" s="45" t="s">
        <v>175</v>
      </c>
      <c r="D106" s="52" t="s">
        <v>531</v>
      </c>
      <c r="E106" s="45" t="s">
        <v>40</v>
      </c>
      <c r="F106" s="43">
        <f>3.84+1.2+1.6+7.38+3.6+1.98+1.45+0.38+1.9</f>
        <v>23.33</v>
      </c>
      <c r="G106" s="47"/>
      <c r="H106" s="47"/>
    </row>
    <row r="107" spans="1:9">
      <c r="A107" s="13"/>
      <c r="B107" s="7"/>
      <c r="C107" s="7"/>
      <c r="D107" s="31" t="s">
        <v>61</v>
      </c>
      <c r="E107" s="7"/>
      <c r="F107" s="25"/>
      <c r="G107" s="17"/>
      <c r="H107" s="22"/>
    </row>
    <row r="108" spans="1:9">
      <c r="A108" s="11">
        <v>12</v>
      </c>
      <c r="B108" s="14"/>
      <c r="C108" s="14"/>
      <c r="D108" s="11" t="s">
        <v>76</v>
      </c>
      <c r="E108" s="14"/>
      <c r="F108" s="14"/>
      <c r="G108" s="19"/>
      <c r="H108" s="18"/>
      <c r="I108" s="24"/>
    </row>
    <row r="109" spans="1:9" s="48" customFormat="1" ht="29.25">
      <c r="A109" s="44" t="s">
        <v>29</v>
      </c>
      <c r="B109" s="50" t="s">
        <v>336</v>
      </c>
      <c r="C109" s="45" t="s">
        <v>183</v>
      </c>
      <c r="D109" s="52" t="s">
        <v>184</v>
      </c>
      <c r="E109" s="45" t="s">
        <v>40</v>
      </c>
      <c r="F109" s="43">
        <f>0.67+0.39+0.6+4.89+0.67-1.02</f>
        <v>6.1999999999999993</v>
      </c>
      <c r="G109" s="47"/>
      <c r="H109" s="47"/>
    </row>
    <row r="110" spans="1:9" s="48" customFormat="1" ht="29.25">
      <c r="A110" s="44" t="s">
        <v>287</v>
      </c>
      <c r="B110" s="50" t="s">
        <v>336</v>
      </c>
      <c r="C110" s="45" t="s">
        <v>185</v>
      </c>
      <c r="D110" s="46" t="s">
        <v>186</v>
      </c>
      <c r="E110" s="45" t="s">
        <v>161</v>
      </c>
      <c r="F110" s="43">
        <v>2</v>
      </c>
      <c r="G110" s="47"/>
      <c r="H110" s="47"/>
    </row>
    <row r="111" spans="1:9" s="48" customFormat="1" ht="29.25">
      <c r="A111" s="44" t="s">
        <v>288</v>
      </c>
      <c r="B111" s="50" t="s">
        <v>336</v>
      </c>
      <c r="C111" s="45" t="s">
        <v>238</v>
      </c>
      <c r="D111" s="46" t="s">
        <v>239</v>
      </c>
      <c r="E111" s="45" t="s">
        <v>161</v>
      </c>
      <c r="F111" s="43">
        <v>3</v>
      </c>
      <c r="G111" s="47"/>
      <c r="H111" s="47"/>
    </row>
    <row r="112" spans="1:9" s="48" customFormat="1" ht="29.25">
      <c r="A112" s="44" t="s">
        <v>289</v>
      </c>
      <c r="B112" s="50" t="s">
        <v>336</v>
      </c>
      <c r="C112" s="45" t="s">
        <v>240</v>
      </c>
      <c r="D112" s="46" t="s">
        <v>241</v>
      </c>
      <c r="E112" s="45" t="s">
        <v>161</v>
      </c>
      <c r="F112" s="43">
        <v>4</v>
      </c>
      <c r="G112" s="47"/>
      <c r="H112" s="47"/>
    </row>
    <row r="113" spans="1:9" s="48" customFormat="1">
      <c r="A113" s="44" t="s">
        <v>290</v>
      </c>
      <c r="B113" s="50" t="s">
        <v>336</v>
      </c>
      <c r="C113" s="45" t="s">
        <v>242</v>
      </c>
      <c r="D113" s="46" t="s">
        <v>243</v>
      </c>
      <c r="E113" s="45" t="s">
        <v>161</v>
      </c>
      <c r="F113" s="43">
        <v>2</v>
      </c>
      <c r="G113" s="47"/>
      <c r="H113" s="47"/>
    </row>
    <row r="114" spans="1:9" s="48" customFormat="1" ht="29.25">
      <c r="A114" s="44" t="s">
        <v>677</v>
      </c>
      <c r="B114" s="50" t="s">
        <v>336</v>
      </c>
      <c r="C114" s="45" t="s">
        <v>676</v>
      </c>
      <c r="D114" s="46" t="s">
        <v>675</v>
      </c>
      <c r="E114" s="45" t="s">
        <v>40</v>
      </c>
      <c r="F114" s="43">
        <f>32*0.1</f>
        <v>3.2</v>
      </c>
      <c r="G114" s="47"/>
      <c r="H114" s="47"/>
    </row>
    <row r="115" spans="1:9">
      <c r="A115" s="13"/>
      <c r="B115" s="7"/>
      <c r="C115" s="7"/>
      <c r="D115" s="31" t="s">
        <v>62</v>
      </c>
      <c r="E115" s="7"/>
      <c r="F115" s="20"/>
      <c r="G115" s="17"/>
      <c r="H115" s="22"/>
    </row>
    <row r="116" spans="1:9">
      <c r="A116" s="11">
        <v>13</v>
      </c>
      <c r="B116" s="14"/>
      <c r="C116" s="14"/>
      <c r="D116" s="8" t="s">
        <v>268</v>
      </c>
      <c r="E116" s="14"/>
      <c r="F116" s="14"/>
      <c r="G116" s="19"/>
      <c r="H116" s="18"/>
      <c r="I116" s="24"/>
    </row>
    <row r="117" spans="1:9" s="48" customFormat="1">
      <c r="A117" s="44" t="s">
        <v>73</v>
      </c>
      <c r="B117" s="50" t="s">
        <v>336</v>
      </c>
      <c r="C117" s="45" t="s">
        <v>187</v>
      </c>
      <c r="D117" s="55" t="s">
        <v>188</v>
      </c>
      <c r="E117" s="45" t="s">
        <v>161</v>
      </c>
      <c r="F117" s="43">
        <v>10</v>
      </c>
      <c r="G117" s="47"/>
      <c r="H117" s="47"/>
    </row>
    <row r="118" spans="1:9" s="48" customFormat="1">
      <c r="A118" s="44" t="s">
        <v>74</v>
      </c>
      <c r="B118" s="50" t="s">
        <v>336</v>
      </c>
      <c r="C118" s="45" t="s">
        <v>189</v>
      </c>
      <c r="D118" s="49" t="s">
        <v>190</v>
      </c>
      <c r="E118" s="45" t="s">
        <v>43</v>
      </c>
      <c r="F118" s="43">
        <f>(2.2+1.16+3.4+2.41+2.28+0.65+0.91+2.2+0.87+1.6+1.18+3.06+1.15+4.15+1.55+1+2.46+1.4+3.65+1.6+1.41+0.75+1.68+2.25+1.71+2.12+1.79+5.56+(2.48*15)+7.35)</f>
        <v>100.69999999999999</v>
      </c>
      <c r="G118" s="47"/>
      <c r="H118" s="47"/>
    </row>
    <row r="119" spans="1:9" s="48" customFormat="1">
      <c r="A119" s="44" t="s">
        <v>177</v>
      </c>
      <c r="B119" s="50" t="s">
        <v>336</v>
      </c>
      <c r="C119" s="45" t="s">
        <v>191</v>
      </c>
      <c r="D119" s="49" t="s">
        <v>192</v>
      </c>
      <c r="E119" s="45" t="s">
        <v>161</v>
      </c>
      <c r="F119" s="43">
        <v>16</v>
      </c>
      <c r="G119" s="47"/>
      <c r="H119" s="47"/>
    </row>
    <row r="120" spans="1:9" s="48" customFormat="1" ht="29.25">
      <c r="A120" s="44" t="s">
        <v>178</v>
      </c>
      <c r="B120" s="50" t="s">
        <v>336</v>
      </c>
      <c r="C120" s="45" t="s">
        <v>473</v>
      </c>
      <c r="D120" s="49" t="s">
        <v>472</v>
      </c>
      <c r="E120" s="45" t="s">
        <v>43</v>
      </c>
      <c r="F120" s="43">
        <f>F118*1</f>
        <v>100.69999999999999</v>
      </c>
      <c r="G120" s="47"/>
      <c r="H120" s="47"/>
    </row>
    <row r="121" spans="1:9" s="48" customFormat="1" ht="29.25">
      <c r="A121" s="44" t="s">
        <v>179</v>
      </c>
      <c r="B121" s="50" t="s">
        <v>336</v>
      </c>
      <c r="C121" s="45" t="s">
        <v>193</v>
      </c>
      <c r="D121" s="49" t="s">
        <v>194</v>
      </c>
      <c r="E121" s="45" t="s">
        <v>43</v>
      </c>
      <c r="F121" s="43">
        <f>F118*3</f>
        <v>302.09999999999997</v>
      </c>
      <c r="G121" s="47"/>
      <c r="H121" s="47"/>
    </row>
    <row r="122" spans="1:9" s="48" customFormat="1" ht="29.25">
      <c r="A122" s="44" t="s">
        <v>180</v>
      </c>
      <c r="B122" s="50" t="s">
        <v>336</v>
      </c>
      <c r="C122" s="45" t="s">
        <v>533</v>
      </c>
      <c r="D122" s="49" t="s">
        <v>532</v>
      </c>
      <c r="E122" s="50" t="s">
        <v>43</v>
      </c>
      <c r="F122" s="43">
        <f>7.35*3</f>
        <v>22.049999999999997</v>
      </c>
      <c r="G122" s="47"/>
      <c r="H122" s="47"/>
    </row>
    <row r="123" spans="1:9" s="48" customFormat="1" ht="29.25">
      <c r="A123" s="44" t="s">
        <v>181</v>
      </c>
      <c r="B123" s="50" t="s">
        <v>336</v>
      </c>
      <c r="C123" s="45" t="s">
        <v>195</v>
      </c>
      <c r="D123" s="49" t="s">
        <v>540</v>
      </c>
      <c r="E123" s="45" t="s">
        <v>161</v>
      </c>
      <c r="F123" s="43">
        <v>2</v>
      </c>
      <c r="G123" s="47"/>
      <c r="H123" s="47"/>
    </row>
    <row r="124" spans="1:9" s="48" customFormat="1">
      <c r="A124" s="44" t="s">
        <v>182</v>
      </c>
      <c r="B124" s="50" t="s">
        <v>336</v>
      </c>
      <c r="C124" s="45" t="s">
        <v>251</v>
      </c>
      <c r="D124" s="49" t="s">
        <v>252</v>
      </c>
      <c r="E124" s="45" t="s">
        <v>161</v>
      </c>
      <c r="F124" s="136">
        <v>15</v>
      </c>
      <c r="G124" s="47"/>
      <c r="H124" s="47"/>
    </row>
    <row r="125" spans="1:9" s="48" customFormat="1" ht="29.25">
      <c r="A125" s="44" t="s">
        <v>244</v>
      </c>
      <c r="B125" s="50" t="s">
        <v>336</v>
      </c>
      <c r="C125" s="45" t="s">
        <v>283</v>
      </c>
      <c r="D125" s="49" t="s">
        <v>284</v>
      </c>
      <c r="E125" s="45" t="s">
        <v>161</v>
      </c>
      <c r="F125" s="43">
        <v>13</v>
      </c>
      <c r="G125" s="47"/>
      <c r="H125" s="47"/>
    </row>
    <row r="126" spans="1:9" s="48" customFormat="1">
      <c r="A126" s="44" t="s">
        <v>245</v>
      </c>
      <c r="B126" s="50" t="s">
        <v>336</v>
      </c>
      <c r="C126" s="45" t="s">
        <v>535</v>
      </c>
      <c r="D126" s="49" t="s">
        <v>534</v>
      </c>
      <c r="E126" s="45" t="s">
        <v>43</v>
      </c>
      <c r="F126" s="43">
        <f>1.57+5.57+3.14+4.03</f>
        <v>14.310000000000002</v>
      </c>
      <c r="G126" s="47"/>
      <c r="H126" s="47"/>
    </row>
    <row r="127" spans="1:9" s="48" customFormat="1" ht="29.25">
      <c r="A127" s="44" t="s">
        <v>246</v>
      </c>
      <c r="B127" s="50" t="s">
        <v>336</v>
      </c>
      <c r="C127" s="45" t="s">
        <v>537</v>
      </c>
      <c r="D127" s="49" t="s">
        <v>536</v>
      </c>
      <c r="E127" s="45" t="s">
        <v>161</v>
      </c>
      <c r="F127" s="43">
        <v>4</v>
      </c>
      <c r="G127" s="47"/>
      <c r="H127" s="47"/>
    </row>
    <row r="128" spans="1:9" s="48" customFormat="1">
      <c r="A128" s="44" t="s">
        <v>471</v>
      </c>
      <c r="B128" s="50" t="s">
        <v>336</v>
      </c>
      <c r="C128" s="45" t="s">
        <v>539</v>
      </c>
      <c r="D128" s="49" t="s">
        <v>538</v>
      </c>
      <c r="E128" s="45" t="s">
        <v>161</v>
      </c>
      <c r="F128" s="43">
        <f>6+9</f>
        <v>15</v>
      </c>
      <c r="G128" s="47"/>
      <c r="H128" s="47"/>
    </row>
    <row r="129" spans="1:8" s="48" customFormat="1" ht="29.25">
      <c r="A129" s="44" t="s">
        <v>573</v>
      </c>
      <c r="B129" s="50" t="s">
        <v>336</v>
      </c>
      <c r="C129" s="45" t="s">
        <v>572</v>
      </c>
      <c r="D129" s="49" t="s">
        <v>571</v>
      </c>
      <c r="E129" s="45" t="s">
        <v>161</v>
      </c>
      <c r="F129" s="43">
        <v>1</v>
      </c>
      <c r="G129" s="47"/>
      <c r="H129" s="47"/>
    </row>
    <row r="130" spans="1:8" s="48" customFormat="1">
      <c r="A130" s="44" t="s">
        <v>575</v>
      </c>
      <c r="B130" s="50" t="s">
        <v>336</v>
      </c>
      <c r="C130" s="45" t="s">
        <v>195</v>
      </c>
      <c r="D130" s="49" t="s">
        <v>574</v>
      </c>
      <c r="E130" s="45" t="s">
        <v>161</v>
      </c>
      <c r="F130" s="43">
        <v>8</v>
      </c>
      <c r="G130" s="47"/>
      <c r="H130" s="47"/>
    </row>
    <row r="131" spans="1:8" s="48" customFormat="1">
      <c r="A131" s="44" t="s">
        <v>576</v>
      </c>
      <c r="B131" s="50" t="s">
        <v>336</v>
      </c>
      <c r="C131" s="45" t="s">
        <v>578</v>
      </c>
      <c r="D131" s="49" t="s">
        <v>577</v>
      </c>
      <c r="E131" s="45" t="s">
        <v>161</v>
      </c>
      <c r="F131" s="43">
        <v>2</v>
      </c>
      <c r="G131" s="47"/>
      <c r="H131" s="47"/>
    </row>
    <row r="132" spans="1:8" s="48" customFormat="1">
      <c r="A132" s="44" t="s">
        <v>587</v>
      </c>
      <c r="B132" s="50" t="s">
        <v>336</v>
      </c>
      <c r="C132" s="45" t="s">
        <v>581</v>
      </c>
      <c r="D132" s="49" t="s">
        <v>579</v>
      </c>
      <c r="E132" s="45" t="s">
        <v>161</v>
      </c>
      <c r="F132" s="43">
        <v>2</v>
      </c>
      <c r="G132" s="47"/>
      <c r="H132" s="47"/>
    </row>
    <row r="133" spans="1:8" s="48" customFormat="1">
      <c r="A133" s="44" t="s">
        <v>588</v>
      </c>
      <c r="B133" s="50" t="s">
        <v>336</v>
      </c>
      <c r="C133" s="45" t="s">
        <v>580</v>
      </c>
      <c r="D133" s="49" t="s">
        <v>599</v>
      </c>
      <c r="E133" s="45" t="s">
        <v>161</v>
      </c>
      <c r="F133" s="43">
        <v>2</v>
      </c>
      <c r="G133" s="47"/>
      <c r="H133" s="47"/>
    </row>
    <row r="134" spans="1:8" s="48" customFormat="1">
      <c r="A134" s="44" t="s">
        <v>589</v>
      </c>
      <c r="B134" s="50" t="s">
        <v>336</v>
      </c>
      <c r="C134" s="45" t="s">
        <v>583</v>
      </c>
      <c r="D134" s="49" t="s">
        <v>582</v>
      </c>
      <c r="E134" s="45" t="s">
        <v>161</v>
      </c>
      <c r="F134" s="43">
        <v>2</v>
      </c>
      <c r="G134" s="47"/>
      <c r="H134" s="47"/>
    </row>
    <row r="135" spans="1:8" s="48" customFormat="1">
      <c r="A135" s="44" t="s">
        <v>590</v>
      </c>
      <c r="B135" s="50" t="s">
        <v>336</v>
      </c>
      <c r="C135" s="45" t="s">
        <v>585</v>
      </c>
      <c r="D135" s="49" t="s">
        <v>584</v>
      </c>
      <c r="E135" s="45" t="s">
        <v>161</v>
      </c>
      <c r="F135" s="43">
        <v>2</v>
      </c>
      <c r="G135" s="47"/>
      <c r="H135" s="47"/>
    </row>
    <row r="136" spans="1:8" s="48" customFormat="1">
      <c r="A136" s="44" t="s">
        <v>591</v>
      </c>
      <c r="B136" s="50" t="s">
        <v>336</v>
      </c>
      <c r="C136" s="45" t="s">
        <v>586</v>
      </c>
      <c r="D136" s="49" t="s">
        <v>598</v>
      </c>
      <c r="E136" s="45" t="s">
        <v>43</v>
      </c>
      <c r="F136" s="43">
        <v>6</v>
      </c>
      <c r="G136" s="47"/>
      <c r="H136" s="47"/>
    </row>
    <row r="137" spans="1:8" s="48" customFormat="1" ht="29.25">
      <c r="A137" s="44" t="s">
        <v>596</v>
      </c>
      <c r="B137" s="50" t="s">
        <v>336</v>
      </c>
      <c r="C137" s="45" t="s">
        <v>595</v>
      </c>
      <c r="D137" s="49" t="s">
        <v>597</v>
      </c>
      <c r="E137" s="45" t="s">
        <v>43</v>
      </c>
      <c r="F137" s="43">
        <v>10</v>
      </c>
      <c r="G137" s="47"/>
      <c r="H137" s="47"/>
    </row>
    <row r="138" spans="1:8" s="48" customFormat="1" ht="29.25">
      <c r="A138" s="44" t="s">
        <v>625</v>
      </c>
      <c r="B138" s="50" t="s">
        <v>336</v>
      </c>
      <c r="C138" s="45" t="s">
        <v>622</v>
      </c>
      <c r="D138" s="49" t="s">
        <v>623</v>
      </c>
      <c r="E138" s="45" t="s">
        <v>161</v>
      </c>
      <c r="F138" s="43">
        <v>3</v>
      </c>
      <c r="G138" s="47"/>
      <c r="H138" s="47"/>
    </row>
    <row r="139" spans="1:8" s="48" customFormat="1" ht="29.25">
      <c r="A139" s="44" t="s">
        <v>626</v>
      </c>
      <c r="B139" s="50" t="s">
        <v>336</v>
      </c>
      <c r="C139" s="45" t="s">
        <v>624</v>
      </c>
      <c r="D139" s="49" t="s">
        <v>627</v>
      </c>
      <c r="E139" s="45" t="s">
        <v>161</v>
      </c>
      <c r="F139" s="43">
        <v>6</v>
      </c>
      <c r="G139" s="47"/>
      <c r="H139" s="47"/>
    </row>
    <row r="140" spans="1:8">
      <c r="A140" s="13"/>
      <c r="B140" s="7"/>
      <c r="C140" s="7"/>
      <c r="D140" s="33" t="s">
        <v>75</v>
      </c>
      <c r="E140" s="7"/>
      <c r="F140" s="20"/>
      <c r="G140" s="17"/>
      <c r="H140" s="22"/>
    </row>
    <row r="141" spans="1:8">
      <c r="A141" s="11">
        <v>14</v>
      </c>
      <c r="B141" s="14"/>
      <c r="C141" s="14"/>
      <c r="D141" s="8" t="s">
        <v>81</v>
      </c>
      <c r="E141" s="14"/>
      <c r="F141" s="14"/>
      <c r="G141" s="19"/>
      <c r="H141" s="18"/>
    </row>
    <row r="142" spans="1:8" s="48" customFormat="1">
      <c r="A142" s="44" t="s">
        <v>77</v>
      </c>
      <c r="B142" s="50" t="s">
        <v>336</v>
      </c>
      <c r="C142" s="45" t="s">
        <v>196</v>
      </c>
      <c r="D142" s="46" t="s">
        <v>197</v>
      </c>
      <c r="E142" s="45" t="s">
        <v>161</v>
      </c>
      <c r="F142" s="43">
        <v>1</v>
      </c>
      <c r="G142" s="47"/>
      <c r="H142" s="47"/>
    </row>
    <row r="143" spans="1:8" s="48" customFormat="1">
      <c r="A143" s="44" t="s">
        <v>78</v>
      </c>
      <c r="B143" s="50" t="s">
        <v>336</v>
      </c>
      <c r="C143" s="45" t="s">
        <v>198</v>
      </c>
      <c r="D143" s="46" t="s">
        <v>199</v>
      </c>
      <c r="E143" s="45" t="s">
        <v>161</v>
      </c>
      <c r="F143" s="43">
        <v>1</v>
      </c>
      <c r="G143" s="47"/>
      <c r="H143" s="47"/>
    </row>
    <row r="144" spans="1:8" s="48" customFormat="1" ht="29.25">
      <c r="A144" s="44" t="s">
        <v>79</v>
      </c>
      <c r="B144" s="50" t="s">
        <v>336</v>
      </c>
      <c r="C144" s="7" t="s">
        <v>430</v>
      </c>
      <c r="D144" s="28" t="s">
        <v>431</v>
      </c>
      <c r="E144" s="45" t="s">
        <v>161</v>
      </c>
      <c r="F144" s="43">
        <v>7</v>
      </c>
      <c r="G144" s="47"/>
      <c r="H144" s="47"/>
    </row>
    <row r="145" spans="1:9">
      <c r="A145" s="13"/>
      <c r="B145" s="7"/>
      <c r="C145" s="7"/>
      <c r="D145" s="33" t="s">
        <v>80</v>
      </c>
      <c r="E145" s="7"/>
      <c r="F145" s="20"/>
      <c r="G145" s="17"/>
      <c r="H145" s="22"/>
    </row>
    <row r="146" spans="1:9">
      <c r="A146" s="11">
        <v>15</v>
      </c>
      <c r="B146" s="14"/>
      <c r="C146" s="14"/>
      <c r="D146" s="8" t="s">
        <v>87</v>
      </c>
      <c r="E146" s="14"/>
      <c r="F146" s="14"/>
      <c r="G146" s="19"/>
      <c r="H146" s="18"/>
    </row>
    <row r="147" spans="1:9" s="48" customFormat="1" ht="29.25">
      <c r="A147" s="44" t="s">
        <v>82</v>
      </c>
      <c r="B147" s="50" t="s">
        <v>336</v>
      </c>
      <c r="C147" s="45" t="s">
        <v>201</v>
      </c>
      <c r="D147" s="46" t="s">
        <v>202</v>
      </c>
      <c r="E147" s="45" t="s">
        <v>43</v>
      </c>
      <c r="F147" s="43">
        <f>(1.86*6)+(10.18+6.38+3.36+8.82+1.69+3.78+2.4)</f>
        <v>47.769999999999996</v>
      </c>
      <c r="G147" s="47"/>
      <c r="H147" s="47"/>
    </row>
    <row r="148" spans="1:9" s="48" customFormat="1" ht="29.25">
      <c r="A148" s="44" t="s">
        <v>83</v>
      </c>
      <c r="B148" s="50" t="s">
        <v>336</v>
      </c>
      <c r="C148" s="45" t="s">
        <v>203</v>
      </c>
      <c r="D148" s="46" t="s">
        <v>204</v>
      </c>
      <c r="E148" s="45" t="s">
        <v>43</v>
      </c>
      <c r="F148" s="43">
        <f>1.88*2+1.5+1.8+0.76+0.6</f>
        <v>8.42</v>
      </c>
      <c r="G148" s="47"/>
      <c r="H148" s="47"/>
      <c r="I148" s="54"/>
    </row>
    <row r="149" spans="1:9" s="48" customFormat="1" ht="29.25">
      <c r="A149" s="44" t="s">
        <v>84</v>
      </c>
      <c r="B149" s="50" t="s">
        <v>336</v>
      </c>
      <c r="C149" s="45" t="s">
        <v>205</v>
      </c>
      <c r="D149" s="46" t="s">
        <v>206</v>
      </c>
      <c r="E149" s="45" t="s">
        <v>43</v>
      </c>
      <c r="F149" s="43">
        <f>(2.92+2.2+2.07+(0.6*3)+1.128+1.4+0.7+1.42+0.96+2.8+2.23+2.7+6+1.37)</f>
        <v>29.698</v>
      </c>
      <c r="G149" s="47"/>
      <c r="H149" s="47"/>
    </row>
    <row r="150" spans="1:9" s="48" customFormat="1">
      <c r="A150" s="44" t="s">
        <v>85</v>
      </c>
      <c r="B150" s="50" t="s">
        <v>336</v>
      </c>
      <c r="C150" s="45" t="s">
        <v>207</v>
      </c>
      <c r="D150" s="46" t="s">
        <v>208</v>
      </c>
      <c r="E150" s="45" t="s">
        <v>161</v>
      </c>
      <c r="F150" s="43">
        <v>6</v>
      </c>
      <c r="G150" s="47"/>
      <c r="H150" s="47"/>
      <c r="I150" s="54"/>
    </row>
    <row r="151" spans="1:9" s="48" customFormat="1">
      <c r="A151" s="44" t="s">
        <v>86</v>
      </c>
      <c r="B151" s="50" t="s">
        <v>336</v>
      </c>
      <c r="C151" s="45" t="s">
        <v>209</v>
      </c>
      <c r="D151" s="46" t="s">
        <v>210</v>
      </c>
      <c r="E151" s="45" t="s">
        <v>161</v>
      </c>
      <c r="F151" s="43">
        <v>2</v>
      </c>
      <c r="G151" s="47"/>
      <c r="H151" s="47"/>
    </row>
    <row r="152" spans="1:9" s="48" customFormat="1">
      <c r="A152" s="44" t="s">
        <v>200</v>
      </c>
      <c r="B152" s="50" t="s">
        <v>336</v>
      </c>
      <c r="C152" s="45" t="s">
        <v>220</v>
      </c>
      <c r="D152" s="46" t="s">
        <v>221</v>
      </c>
      <c r="E152" s="45" t="s">
        <v>43</v>
      </c>
      <c r="F152" s="43">
        <f>(14*2)+2.5+1.5+2.62+2.85+1.83+3.1+1.88+1.88+1.86</f>
        <v>48.02</v>
      </c>
      <c r="G152" s="47"/>
      <c r="H152" s="47"/>
      <c r="I152" s="54"/>
    </row>
    <row r="153" spans="1:9" s="48" customFormat="1">
      <c r="A153" s="44" t="s">
        <v>291</v>
      </c>
      <c r="B153" s="50" t="s">
        <v>336</v>
      </c>
      <c r="C153" s="45" t="s">
        <v>255</v>
      </c>
      <c r="D153" s="46" t="s">
        <v>256</v>
      </c>
      <c r="E153" s="45" t="s">
        <v>43</v>
      </c>
      <c r="F153" s="43">
        <v>3</v>
      </c>
      <c r="G153" s="47"/>
      <c r="H153" s="47"/>
      <c r="I153" s="54"/>
    </row>
    <row r="154" spans="1:9" s="48" customFormat="1">
      <c r="A154" s="44" t="s">
        <v>292</v>
      </c>
      <c r="B154" s="50" t="s">
        <v>336</v>
      </c>
      <c r="C154" s="45" t="s">
        <v>222</v>
      </c>
      <c r="D154" s="46" t="s">
        <v>223</v>
      </c>
      <c r="E154" s="45" t="s">
        <v>43</v>
      </c>
      <c r="F154" s="43">
        <f>9*2.38</f>
        <v>21.419999999999998</v>
      </c>
      <c r="G154" s="47"/>
      <c r="H154" s="47"/>
    </row>
    <row r="155" spans="1:9" s="48" customFormat="1">
      <c r="A155" s="44" t="s">
        <v>293</v>
      </c>
      <c r="B155" s="50" t="s">
        <v>336</v>
      </c>
      <c r="C155" s="45" t="s">
        <v>257</v>
      </c>
      <c r="D155" s="46" t="s">
        <v>258</v>
      </c>
      <c r="E155" s="45" t="s">
        <v>43</v>
      </c>
      <c r="F155" s="43">
        <f>ROUND(12*2,2)</f>
        <v>24</v>
      </c>
      <c r="G155" s="47"/>
      <c r="H155" s="47"/>
    </row>
    <row r="156" spans="1:9" s="48" customFormat="1">
      <c r="A156" s="44" t="s">
        <v>294</v>
      </c>
      <c r="B156" s="50" t="s">
        <v>336</v>
      </c>
      <c r="C156" s="45" t="s">
        <v>224</v>
      </c>
      <c r="D156" s="46" t="s">
        <v>225</v>
      </c>
      <c r="E156" s="45" t="s">
        <v>161</v>
      </c>
      <c r="F156" s="43">
        <v>1</v>
      </c>
      <c r="G156" s="47"/>
      <c r="H156" s="47"/>
    </row>
    <row r="157" spans="1:9" s="48" customFormat="1">
      <c r="A157" s="44" t="s">
        <v>295</v>
      </c>
      <c r="B157" s="50" t="s">
        <v>336</v>
      </c>
      <c r="C157" s="45" t="s">
        <v>542</v>
      </c>
      <c r="D157" s="46" t="s">
        <v>541</v>
      </c>
      <c r="E157" s="45" t="s">
        <v>161</v>
      </c>
      <c r="F157" s="43">
        <v>1</v>
      </c>
      <c r="G157" s="47"/>
      <c r="H157" s="47"/>
    </row>
    <row r="158" spans="1:9" s="48" customFormat="1" ht="29.25">
      <c r="A158" s="44" t="s">
        <v>620</v>
      </c>
      <c r="B158" s="50" t="s">
        <v>336</v>
      </c>
      <c r="C158" s="45" t="s">
        <v>619</v>
      </c>
      <c r="D158" s="46" t="s">
        <v>618</v>
      </c>
      <c r="E158" s="45" t="s">
        <v>161</v>
      </c>
      <c r="F158" s="43">
        <v>3</v>
      </c>
      <c r="G158" s="47"/>
      <c r="H158" s="47"/>
    </row>
    <row r="159" spans="1:9">
      <c r="A159" s="13"/>
      <c r="B159" s="50"/>
      <c r="C159" s="7"/>
      <c r="D159" s="33" t="s">
        <v>88</v>
      </c>
      <c r="E159" s="7"/>
      <c r="F159" s="20"/>
      <c r="G159" s="17"/>
      <c r="H159" s="22"/>
    </row>
    <row r="160" spans="1:9">
      <c r="A160" s="11">
        <v>16</v>
      </c>
      <c r="B160" s="14"/>
      <c r="C160" s="14"/>
      <c r="D160" s="8" t="s">
        <v>167</v>
      </c>
      <c r="E160" s="14"/>
      <c r="F160" s="14"/>
      <c r="G160" s="19"/>
      <c r="H160" s="18"/>
    </row>
    <row r="161" spans="1:9" ht="29.25">
      <c r="A161" s="13" t="s">
        <v>90</v>
      </c>
      <c r="B161" s="50" t="s">
        <v>336</v>
      </c>
      <c r="C161" s="7" t="s">
        <v>168</v>
      </c>
      <c r="D161" s="27" t="s">
        <v>169</v>
      </c>
      <c r="E161" s="7" t="s">
        <v>43</v>
      </c>
      <c r="F161" s="20">
        <f>ROUND(0.9*2,2)</f>
        <v>1.8</v>
      </c>
      <c r="G161" s="17"/>
      <c r="H161" s="17"/>
    </row>
    <row r="162" spans="1:9" ht="29.25">
      <c r="A162" s="13" t="s">
        <v>91</v>
      </c>
      <c r="B162" s="50" t="s">
        <v>336</v>
      </c>
      <c r="C162" s="7" t="s">
        <v>170</v>
      </c>
      <c r="D162" s="27" t="s">
        <v>171</v>
      </c>
      <c r="E162" s="7" t="s">
        <v>161</v>
      </c>
      <c r="F162" s="20">
        <v>6</v>
      </c>
      <c r="G162" s="17"/>
      <c r="H162" s="17"/>
      <c r="I162" s="38"/>
    </row>
    <row r="163" spans="1:9" s="48" customFormat="1" ht="29.25">
      <c r="A163" s="13" t="s">
        <v>164</v>
      </c>
      <c r="B163" s="50" t="s">
        <v>336</v>
      </c>
      <c r="C163" s="45" t="s">
        <v>172</v>
      </c>
      <c r="D163" s="46" t="s">
        <v>173</v>
      </c>
      <c r="E163" s="45" t="s">
        <v>161</v>
      </c>
      <c r="F163" s="43">
        <v>6</v>
      </c>
      <c r="G163" s="47"/>
      <c r="H163" s="17"/>
    </row>
    <row r="164" spans="1:9">
      <c r="A164" s="13" t="s">
        <v>165</v>
      </c>
      <c r="B164" s="50" t="s">
        <v>336</v>
      </c>
      <c r="C164" s="7" t="s">
        <v>226</v>
      </c>
      <c r="D164" s="27" t="s">
        <v>227</v>
      </c>
      <c r="E164" s="7" t="s">
        <v>161</v>
      </c>
      <c r="F164" s="20">
        <v>2</v>
      </c>
      <c r="G164" s="17"/>
      <c r="H164" s="17"/>
    </row>
    <row r="165" spans="1:9">
      <c r="A165" s="13" t="s">
        <v>166</v>
      </c>
      <c r="B165" s="50" t="s">
        <v>336</v>
      </c>
      <c r="C165" s="7" t="s">
        <v>228</v>
      </c>
      <c r="D165" s="27" t="s">
        <v>229</v>
      </c>
      <c r="E165" s="7" t="s">
        <v>161</v>
      </c>
      <c r="F165" s="20">
        <v>2</v>
      </c>
      <c r="G165" s="17"/>
      <c r="H165" s="17"/>
    </row>
    <row r="166" spans="1:9" s="48" customFormat="1" ht="29.25">
      <c r="A166" s="13" t="s">
        <v>211</v>
      </c>
      <c r="B166" s="50" t="s">
        <v>336</v>
      </c>
      <c r="C166" s="137" t="s">
        <v>543</v>
      </c>
      <c r="D166" s="46" t="s">
        <v>544</v>
      </c>
      <c r="E166" s="45" t="s">
        <v>161</v>
      </c>
      <c r="F166" s="43">
        <v>2</v>
      </c>
      <c r="G166" s="47"/>
      <c r="H166" s="17"/>
    </row>
    <row r="167" spans="1:9">
      <c r="A167" s="13" t="s">
        <v>212</v>
      </c>
      <c r="B167" s="50" t="s">
        <v>336</v>
      </c>
      <c r="C167" s="7" t="s">
        <v>230</v>
      </c>
      <c r="D167" s="27" t="s">
        <v>231</v>
      </c>
      <c r="E167" s="7" t="s">
        <v>161</v>
      </c>
      <c r="F167" s="20">
        <v>9</v>
      </c>
      <c r="G167" s="17"/>
      <c r="H167" s="17"/>
    </row>
    <row r="168" spans="1:9">
      <c r="A168" s="13" t="s">
        <v>213</v>
      </c>
      <c r="B168" s="50" t="s">
        <v>336</v>
      </c>
      <c r="C168" s="7" t="s">
        <v>232</v>
      </c>
      <c r="D168" s="27" t="s">
        <v>233</v>
      </c>
      <c r="E168" s="7" t="s">
        <v>161</v>
      </c>
      <c r="F168" s="20">
        <v>9</v>
      </c>
      <c r="G168" s="17"/>
      <c r="H168" s="17"/>
    </row>
    <row r="169" spans="1:9">
      <c r="A169" s="13" t="s">
        <v>214</v>
      </c>
      <c r="B169" s="50" t="s">
        <v>336</v>
      </c>
      <c r="C169" s="7" t="s">
        <v>253</v>
      </c>
      <c r="D169" s="40" t="s">
        <v>254</v>
      </c>
      <c r="E169" s="7" t="s">
        <v>161</v>
      </c>
      <c r="F169" s="20">
        <v>7</v>
      </c>
      <c r="G169" s="17"/>
      <c r="H169" s="17"/>
    </row>
    <row r="170" spans="1:9">
      <c r="A170" s="13" t="s">
        <v>215</v>
      </c>
      <c r="B170" s="50" t="s">
        <v>336</v>
      </c>
      <c r="C170" s="130" t="s">
        <v>352</v>
      </c>
      <c r="D170" s="2" t="s">
        <v>351</v>
      </c>
      <c r="E170" s="7" t="s">
        <v>161</v>
      </c>
      <c r="F170" s="20">
        <v>9</v>
      </c>
      <c r="G170" s="17"/>
      <c r="H170" s="17"/>
    </row>
    <row r="171" spans="1:9" ht="29.25">
      <c r="A171" s="13" t="s">
        <v>216</v>
      </c>
      <c r="B171" s="50" t="s">
        <v>336</v>
      </c>
      <c r="C171" s="137" t="s">
        <v>614</v>
      </c>
      <c r="D171" s="46" t="s">
        <v>613</v>
      </c>
      <c r="E171" s="45" t="s">
        <v>161</v>
      </c>
      <c r="F171" s="43">
        <v>7</v>
      </c>
      <c r="G171" s="17"/>
      <c r="H171" s="17"/>
    </row>
    <row r="172" spans="1:9">
      <c r="A172" s="13" t="s">
        <v>217</v>
      </c>
      <c r="B172" s="50" t="s">
        <v>336</v>
      </c>
      <c r="C172" s="7" t="s">
        <v>259</v>
      </c>
      <c r="D172" s="27" t="s">
        <v>260</v>
      </c>
      <c r="E172" s="7" t="s">
        <v>161</v>
      </c>
      <c r="F172" s="20">
        <v>1</v>
      </c>
      <c r="G172" s="17"/>
      <c r="H172" s="17"/>
    </row>
    <row r="173" spans="1:9">
      <c r="A173" s="13" t="s">
        <v>218</v>
      </c>
      <c r="B173" s="50" t="s">
        <v>336</v>
      </c>
      <c r="C173" s="7" t="s">
        <v>234</v>
      </c>
      <c r="D173" s="27" t="s">
        <v>235</v>
      </c>
      <c r="E173" s="7" t="s">
        <v>161</v>
      </c>
      <c r="F173" s="20">
        <v>3</v>
      </c>
      <c r="G173" s="17"/>
      <c r="H173" s="17"/>
    </row>
    <row r="174" spans="1:9">
      <c r="A174" s="13" t="s">
        <v>219</v>
      </c>
      <c r="B174" s="50" t="s">
        <v>336</v>
      </c>
      <c r="C174" s="7" t="s">
        <v>330</v>
      </c>
      <c r="D174" s="27" t="s">
        <v>332</v>
      </c>
      <c r="E174" s="7" t="s">
        <v>161</v>
      </c>
      <c r="F174" s="43">
        <v>6</v>
      </c>
      <c r="G174" s="17"/>
      <c r="H174" s="17"/>
    </row>
    <row r="175" spans="1:9">
      <c r="A175" s="13" t="s">
        <v>331</v>
      </c>
      <c r="B175" s="50" t="s">
        <v>336</v>
      </c>
      <c r="C175" s="7" t="s">
        <v>338</v>
      </c>
      <c r="D175" s="27" t="s">
        <v>337</v>
      </c>
      <c r="E175" s="7" t="s">
        <v>161</v>
      </c>
      <c r="F175" s="43">
        <v>2</v>
      </c>
      <c r="G175" s="17"/>
      <c r="H175" s="17"/>
    </row>
    <row r="176" spans="1:9" ht="29.25">
      <c r="A176" s="13" t="s">
        <v>333</v>
      </c>
      <c r="B176" s="50" t="s">
        <v>336</v>
      </c>
      <c r="C176" s="51" t="s">
        <v>334</v>
      </c>
      <c r="D176" s="28" t="s">
        <v>335</v>
      </c>
      <c r="E176" s="7" t="s">
        <v>161</v>
      </c>
      <c r="F176" s="43">
        <v>6</v>
      </c>
      <c r="G176" s="17"/>
      <c r="H176" s="17"/>
    </row>
    <row r="177" spans="1:9" s="48" customFormat="1">
      <c r="A177" s="13" t="s">
        <v>339</v>
      </c>
      <c r="B177" s="50" t="s">
        <v>336</v>
      </c>
      <c r="C177" s="45" t="s">
        <v>348</v>
      </c>
      <c r="D177" s="46" t="s">
        <v>344</v>
      </c>
      <c r="E177" s="45" t="s">
        <v>40</v>
      </c>
      <c r="F177" s="43">
        <f>ROUND((1.3*2)+2.23+1.16,2)</f>
        <v>5.99</v>
      </c>
      <c r="G177" s="47"/>
      <c r="H177" s="17"/>
    </row>
    <row r="178" spans="1:9" s="48" customFormat="1">
      <c r="A178" s="13" t="s">
        <v>455</v>
      </c>
      <c r="B178" s="50" t="s">
        <v>336</v>
      </c>
      <c r="C178" s="45" t="s">
        <v>457</v>
      </c>
      <c r="D178" s="46" t="s">
        <v>456</v>
      </c>
      <c r="E178" s="45" t="s">
        <v>161</v>
      </c>
      <c r="F178" s="43">
        <v>1</v>
      </c>
      <c r="G178" s="47"/>
      <c r="H178" s="17"/>
    </row>
    <row r="179" spans="1:9" s="48" customFormat="1">
      <c r="A179" s="13" t="s">
        <v>458</v>
      </c>
      <c r="B179" s="50" t="s">
        <v>336</v>
      </c>
      <c r="C179" s="45" t="s">
        <v>462</v>
      </c>
      <c r="D179" s="46" t="s">
        <v>461</v>
      </c>
      <c r="E179" s="45" t="s">
        <v>161</v>
      </c>
      <c r="F179" s="39">
        <v>1</v>
      </c>
      <c r="G179" s="47"/>
      <c r="H179" s="17"/>
    </row>
    <row r="180" spans="1:9" s="48" customFormat="1">
      <c r="A180" s="13" t="s">
        <v>459</v>
      </c>
      <c r="B180" s="50" t="s">
        <v>336</v>
      </c>
      <c r="C180" s="137" t="s">
        <v>545</v>
      </c>
      <c r="D180" s="46" t="s">
        <v>546</v>
      </c>
      <c r="E180" s="45" t="s">
        <v>161</v>
      </c>
      <c r="F180" s="43">
        <v>2</v>
      </c>
      <c r="G180" s="47"/>
      <c r="H180" s="17"/>
    </row>
    <row r="181" spans="1:9" s="48" customFormat="1" ht="29.25">
      <c r="A181" s="13" t="s">
        <v>568</v>
      </c>
      <c r="B181" s="50" t="s">
        <v>336</v>
      </c>
      <c r="C181" s="137" t="s">
        <v>617</v>
      </c>
      <c r="D181" s="46" t="s">
        <v>616</v>
      </c>
      <c r="E181" s="45" t="s">
        <v>161</v>
      </c>
      <c r="F181" s="43">
        <v>1</v>
      </c>
      <c r="G181" s="47"/>
      <c r="H181" s="17"/>
    </row>
    <row r="182" spans="1:9" s="48" customFormat="1">
      <c r="A182" s="13" t="s">
        <v>655</v>
      </c>
      <c r="B182" s="50" t="s">
        <v>336</v>
      </c>
      <c r="C182" s="137" t="s">
        <v>630</v>
      </c>
      <c r="D182" s="46" t="s">
        <v>631</v>
      </c>
      <c r="E182" s="45" t="s">
        <v>161</v>
      </c>
      <c r="F182" s="43">
        <v>10</v>
      </c>
      <c r="G182" s="47"/>
      <c r="H182" s="17"/>
    </row>
    <row r="183" spans="1:9" s="48" customFormat="1">
      <c r="A183" s="13" t="s">
        <v>615</v>
      </c>
      <c r="B183" s="50" t="s">
        <v>336</v>
      </c>
      <c r="C183" s="137" t="s">
        <v>657</v>
      </c>
      <c r="D183" s="46" t="s">
        <v>656</v>
      </c>
      <c r="E183" s="45" t="s">
        <v>40</v>
      </c>
      <c r="F183" s="43">
        <f>2.5*0.9*3</f>
        <v>6.75</v>
      </c>
      <c r="G183" s="47"/>
      <c r="H183" s="17"/>
    </row>
    <row r="184" spans="1:9" s="48" customFormat="1" ht="29.25">
      <c r="A184" s="13" t="s">
        <v>632</v>
      </c>
      <c r="B184" s="50" t="s">
        <v>336</v>
      </c>
      <c r="C184" s="137" t="s">
        <v>682</v>
      </c>
      <c r="D184" s="46" t="s">
        <v>681</v>
      </c>
      <c r="E184" s="45" t="s">
        <v>161</v>
      </c>
      <c r="F184" s="43">
        <v>3</v>
      </c>
      <c r="G184" s="47"/>
      <c r="H184" s="17"/>
    </row>
    <row r="185" spans="1:9" s="48" customFormat="1" ht="29.25">
      <c r="A185" s="13" t="s">
        <v>685</v>
      </c>
      <c r="B185" s="50" t="s">
        <v>336</v>
      </c>
      <c r="C185" s="137" t="s">
        <v>683</v>
      </c>
      <c r="D185" s="46" t="s">
        <v>684</v>
      </c>
      <c r="E185" s="45" t="s">
        <v>161</v>
      </c>
      <c r="F185" s="43">
        <v>6</v>
      </c>
      <c r="G185" s="47"/>
      <c r="H185" s="17"/>
    </row>
    <row r="186" spans="1:9">
      <c r="A186" s="13"/>
      <c r="B186" s="7"/>
      <c r="C186" s="7"/>
      <c r="D186" s="33" t="s">
        <v>89</v>
      </c>
      <c r="E186" s="7"/>
      <c r="F186" s="20"/>
      <c r="G186" s="17"/>
      <c r="H186" s="22"/>
    </row>
    <row r="187" spans="1:9">
      <c r="A187" s="11">
        <v>17</v>
      </c>
      <c r="B187" s="14"/>
      <c r="C187" s="14"/>
      <c r="D187" s="8" t="s">
        <v>94</v>
      </c>
      <c r="E187" s="14"/>
      <c r="F187" s="14"/>
      <c r="G187" s="19"/>
      <c r="H187" s="18"/>
    </row>
    <row r="188" spans="1:9" s="48" customFormat="1" ht="29.25">
      <c r="A188" s="44" t="s">
        <v>92</v>
      </c>
      <c r="B188" s="50" t="s">
        <v>336</v>
      </c>
      <c r="C188" s="45" t="s">
        <v>107</v>
      </c>
      <c r="D188" s="46" t="s">
        <v>108</v>
      </c>
      <c r="E188" s="45" t="s">
        <v>41</v>
      </c>
      <c r="F188" s="43">
        <f>ROUND(((F26+F27+(F30*0.01)+(F31*0.5*0.01)+(F32*0.03)+(F33*0.015)+(F36*0.3)+(F37*0.03))*1.5),2)</f>
        <v>26.59</v>
      </c>
      <c r="G188" s="47"/>
      <c r="H188" s="47"/>
    </row>
    <row r="189" spans="1:9">
      <c r="A189" s="13"/>
      <c r="B189" s="7"/>
      <c r="C189" s="7"/>
      <c r="D189" s="33" t="s">
        <v>93</v>
      </c>
      <c r="E189" s="7"/>
      <c r="F189" s="20"/>
      <c r="G189" s="17"/>
      <c r="H189" s="22"/>
      <c r="I189" s="41"/>
    </row>
    <row r="190" spans="1:9">
      <c r="A190" s="11">
        <v>18</v>
      </c>
      <c r="B190" s="14"/>
      <c r="C190" s="14"/>
      <c r="D190" s="8" t="s">
        <v>34</v>
      </c>
      <c r="E190" s="14"/>
      <c r="F190" s="14"/>
      <c r="G190" s="19"/>
      <c r="H190" s="19"/>
      <c r="I190" s="24"/>
    </row>
    <row r="191" spans="1:9">
      <c r="A191" s="13" t="s">
        <v>95</v>
      </c>
      <c r="B191" s="50" t="s">
        <v>336</v>
      </c>
      <c r="C191" s="7" t="s">
        <v>236</v>
      </c>
      <c r="D191" s="2" t="s">
        <v>237</v>
      </c>
      <c r="E191" s="7" t="s">
        <v>40</v>
      </c>
      <c r="F191" s="20">
        <v>212.18799999999999</v>
      </c>
      <c r="G191" s="17"/>
      <c r="H191" s="17"/>
    </row>
    <row r="192" spans="1:9">
      <c r="A192" s="13"/>
      <c r="B192" s="7"/>
      <c r="C192" s="7"/>
      <c r="D192" s="32" t="s">
        <v>96</v>
      </c>
      <c r="E192" s="7"/>
      <c r="F192" s="20"/>
      <c r="G192" s="17"/>
      <c r="H192" s="22"/>
    </row>
    <row r="193" spans="1:9" ht="9" customHeight="1">
      <c r="A193" s="12"/>
      <c r="B193" s="16"/>
      <c r="C193" s="16"/>
      <c r="D193" s="3"/>
      <c r="E193" s="16"/>
      <c r="F193" s="16"/>
      <c r="G193" s="3"/>
      <c r="H193" s="3"/>
    </row>
    <row r="194" spans="1:9">
      <c r="A194" s="13"/>
      <c r="B194" s="7"/>
      <c r="C194" s="7"/>
      <c r="D194" s="15" t="s">
        <v>30</v>
      </c>
      <c r="E194" s="7"/>
      <c r="F194" s="7"/>
      <c r="G194" s="2"/>
      <c r="H194" s="22"/>
      <c r="I194" s="26"/>
    </row>
    <row r="195" spans="1:9">
      <c r="A195" s="13"/>
      <c r="B195" s="7"/>
      <c r="C195" s="7"/>
      <c r="D195" s="15" t="s">
        <v>31</v>
      </c>
      <c r="E195" s="7"/>
      <c r="F195" s="62">
        <v>0.27050000000000002</v>
      </c>
      <c r="G195" s="61"/>
      <c r="H195" s="23"/>
      <c r="I195" s="26"/>
    </row>
    <row r="196" spans="1:9">
      <c r="A196" s="12"/>
      <c r="B196" s="16"/>
      <c r="C196" s="16"/>
      <c r="D196" s="8" t="s">
        <v>32</v>
      </c>
      <c r="E196" s="3"/>
      <c r="F196" s="3"/>
      <c r="G196" s="3"/>
      <c r="H196" s="29"/>
      <c r="I196" s="30"/>
    </row>
    <row r="197" spans="1:9">
      <c r="A197" s="12"/>
      <c r="B197" s="16"/>
      <c r="C197" s="16"/>
      <c r="D197" s="8"/>
      <c r="E197" s="3"/>
      <c r="F197" s="3"/>
      <c r="G197" s="3"/>
      <c r="H197" s="29"/>
      <c r="I197" s="41"/>
    </row>
    <row r="198" spans="1:9">
      <c r="I198" s="41"/>
    </row>
    <row r="200" spans="1:9">
      <c r="E200" s="257"/>
      <c r="F200" s="257"/>
      <c r="G200" s="257"/>
      <c r="H200" s="257"/>
    </row>
    <row r="201" spans="1:9">
      <c r="E201" s="254" t="s">
        <v>709</v>
      </c>
      <c r="F201" s="254"/>
      <c r="G201" s="254"/>
      <c r="H201" s="254"/>
    </row>
    <row r="202" spans="1:9">
      <c r="E202" s="254"/>
      <c r="F202" s="254"/>
      <c r="G202" s="254"/>
      <c r="H202" s="254"/>
    </row>
    <row r="203" spans="1:9">
      <c r="E203" s="254"/>
      <c r="F203" s="254"/>
      <c r="G203" s="254"/>
      <c r="H203" s="254"/>
      <c r="I203" s="24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  <row r="438" spans="1:8">
      <c r="A438" s="1"/>
      <c r="B438" s="1"/>
      <c r="C438" s="1"/>
      <c r="D438" s="1"/>
      <c r="E438" s="1"/>
      <c r="F438" s="1"/>
      <c r="G438" s="1"/>
      <c r="H438" s="1"/>
    </row>
    <row r="439" spans="1:8">
      <c r="A439" s="1"/>
      <c r="B439" s="1"/>
      <c r="C439" s="1"/>
      <c r="D439" s="1"/>
      <c r="E439" s="1"/>
      <c r="F439" s="1"/>
      <c r="G439" s="1"/>
      <c r="H439" s="1"/>
    </row>
    <row r="440" spans="1:8">
      <c r="A440" s="1"/>
      <c r="B440" s="1"/>
      <c r="C440" s="1"/>
      <c r="D440" s="1"/>
      <c r="E440" s="1"/>
      <c r="F440" s="1"/>
      <c r="G440" s="1"/>
      <c r="H440" s="1"/>
    </row>
    <row r="441" spans="1:8">
      <c r="A441" s="1"/>
      <c r="B441" s="1"/>
      <c r="C441" s="1"/>
      <c r="D441" s="1"/>
      <c r="E441" s="1"/>
      <c r="F441" s="1"/>
      <c r="G441" s="1"/>
      <c r="H441" s="1"/>
    </row>
    <row r="442" spans="1:8">
      <c r="A442" s="1"/>
      <c r="B442" s="1"/>
      <c r="C442" s="1"/>
      <c r="D442" s="1"/>
      <c r="E442" s="1"/>
      <c r="F442" s="1"/>
      <c r="G442" s="1"/>
      <c r="H442" s="1"/>
    </row>
    <row r="443" spans="1:8">
      <c r="A443" s="1"/>
      <c r="B443" s="1"/>
      <c r="C443" s="1"/>
      <c r="D443" s="1"/>
      <c r="E443" s="1"/>
      <c r="F443" s="1"/>
      <c r="G443" s="1"/>
      <c r="H443" s="1"/>
    </row>
    <row r="444" spans="1:8">
      <c r="A444" s="1"/>
      <c r="B444" s="1"/>
      <c r="C444" s="1"/>
      <c r="D444" s="1"/>
      <c r="E444" s="1"/>
      <c r="F444" s="1"/>
      <c r="G444" s="1"/>
      <c r="H444" s="1"/>
    </row>
    <row r="445" spans="1:8">
      <c r="A445" s="1"/>
      <c r="B445" s="1"/>
      <c r="C445" s="1"/>
      <c r="D445" s="1"/>
      <c r="E445" s="1"/>
      <c r="F445" s="1"/>
      <c r="G445" s="1"/>
      <c r="H445" s="1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  <row r="484" spans="1:8">
      <c r="A484" s="1"/>
      <c r="B484" s="1"/>
      <c r="C484" s="1"/>
      <c r="D484" s="1"/>
      <c r="E484" s="1"/>
      <c r="F484" s="1"/>
      <c r="G484" s="1"/>
      <c r="H484" s="1"/>
    </row>
    <row r="485" spans="1:8">
      <c r="A485" s="1"/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  <row r="489" spans="1:8">
      <c r="A489" s="1"/>
      <c r="B489" s="1"/>
      <c r="C489" s="1"/>
      <c r="D489" s="1"/>
      <c r="E489" s="1"/>
      <c r="F489" s="1"/>
      <c r="G489" s="1"/>
      <c r="H489" s="1"/>
    </row>
    <row r="490" spans="1:8">
      <c r="A490" s="1"/>
      <c r="B490" s="1"/>
      <c r="C490" s="1"/>
      <c r="D490" s="1"/>
      <c r="E490" s="1"/>
      <c r="F490" s="1"/>
      <c r="G490" s="1"/>
      <c r="H490" s="1"/>
    </row>
    <row r="491" spans="1:8">
      <c r="A491" s="1"/>
      <c r="B491" s="1"/>
      <c r="C491" s="1"/>
      <c r="D491" s="1"/>
      <c r="E491" s="1"/>
      <c r="F491" s="1"/>
      <c r="G491" s="1"/>
      <c r="H491" s="1"/>
    </row>
    <row r="492" spans="1:8">
      <c r="A492" s="1"/>
      <c r="B492" s="1"/>
      <c r="C492" s="1"/>
      <c r="D492" s="1"/>
      <c r="E492" s="1"/>
      <c r="F492" s="1"/>
      <c r="G492" s="1"/>
      <c r="H492" s="1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>
      <c r="A494" s="1"/>
      <c r="B494" s="1"/>
      <c r="C494" s="1"/>
      <c r="D494" s="1"/>
      <c r="E494" s="1"/>
      <c r="F494" s="1"/>
      <c r="G494" s="1"/>
      <c r="H494" s="1"/>
    </row>
    <row r="495" spans="1:8">
      <c r="A495" s="1"/>
      <c r="B495" s="1"/>
      <c r="C495" s="1"/>
      <c r="D495" s="1"/>
      <c r="E495" s="1"/>
      <c r="F495" s="1"/>
      <c r="G495" s="1"/>
      <c r="H495" s="1"/>
    </row>
    <row r="496" spans="1:8">
      <c r="A496" s="1"/>
      <c r="B496" s="1"/>
      <c r="C496" s="1"/>
      <c r="D496" s="1"/>
      <c r="E496" s="1"/>
      <c r="F496" s="1"/>
      <c r="G496" s="1"/>
      <c r="H496" s="1"/>
    </row>
    <row r="497" spans="1:8">
      <c r="A497" s="1"/>
      <c r="B497" s="1"/>
      <c r="C497" s="1"/>
      <c r="D497" s="1"/>
      <c r="E497" s="1"/>
      <c r="F497" s="1"/>
      <c r="G497" s="1"/>
      <c r="H497" s="1"/>
    </row>
    <row r="498" spans="1:8">
      <c r="A498" s="1"/>
      <c r="B498" s="1"/>
      <c r="C498" s="1"/>
      <c r="D498" s="1"/>
      <c r="E498" s="1"/>
      <c r="F498" s="1"/>
      <c r="G498" s="1"/>
      <c r="H498" s="1"/>
    </row>
    <row r="499" spans="1:8">
      <c r="A499" s="1"/>
      <c r="B499" s="1"/>
      <c r="C499" s="1"/>
      <c r="D499" s="1"/>
      <c r="E499" s="1"/>
      <c r="F499" s="1"/>
      <c r="G499" s="1"/>
      <c r="H499" s="1"/>
    </row>
    <row r="500" spans="1:8">
      <c r="A500" s="1"/>
      <c r="B500" s="1"/>
      <c r="C500" s="1"/>
      <c r="D500" s="1"/>
      <c r="E500" s="1"/>
      <c r="F500" s="1"/>
      <c r="G500" s="1"/>
      <c r="H500" s="1"/>
    </row>
    <row r="501" spans="1:8">
      <c r="A501" s="1"/>
      <c r="B501" s="1"/>
      <c r="C501" s="1"/>
      <c r="D501" s="1"/>
      <c r="E501" s="1"/>
      <c r="F501" s="1"/>
      <c r="G501" s="1"/>
      <c r="H501" s="1"/>
    </row>
    <row r="502" spans="1:8">
      <c r="A502" s="1"/>
      <c r="B502" s="1"/>
      <c r="C502" s="1"/>
      <c r="D502" s="1"/>
      <c r="E502" s="1"/>
      <c r="F502" s="1"/>
      <c r="G502" s="1"/>
      <c r="H502" s="1"/>
    </row>
    <row r="503" spans="1:8">
      <c r="A503" s="1"/>
      <c r="B503" s="1"/>
      <c r="C503" s="1"/>
      <c r="D503" s="1"/>
      <c r="E503" s="1"/>
      <c r="F503" s="1"/>
      <c r="G503" s="1"/>
      <c r="H503" s="1"/>
    </row>
    <row r="504" spans="1:8">
      <c r="A504" s="1"/>
      <c r="B504" s="1"/>
      <c r="C504" s="1"/>
      <c r="D504" s="1"/>
      <c r="E504" s="1"/>
      <c r="F504" s="1"/>
      <c r="G504" s="1"/>
      <c r="H504" s="1"/>
    </row>
    <row r="505" spans="1:8">
      <c r="A505" s="1"/>
      <c r="B505" s="1"/>
      <c r="C505" s="1"/>
      <c r="D505" s="1"/>
      <c r="E505" s="1"/>
      <c r="F505" s="1"/>
      <c r="G505" s="1"/>
      <c r="H505" s="1"/>
    </row>
    <row r="506" spans="1:8">
      <c r="A506" s="1"/>
      <c r="B506" s="1"/>
      <c r="C506" s="1"/>
      <c r="D506" s="1"/>
      <c r="E506" s="1"/>
      <c r="F506" s="1"/>
      <c r="G506" s="1"/>
      <c r="H506" s="1"/>
    </row>
    <row r="507" spans="1:8">
      <c r="A507" s="1"/>
      <c r="B507" s="1"/>
      <c r="C507" s="1"/>
      <c r="D507" s="1"/>
      <c r="E507" s="1"/>
      <c r="F507" s="1"/>
      <c r="G507" s="1"/>
      <c r="H507" s="1"/>
    </row>
    <row r="508" spans="1:8">
      <c r="A508" s="1"/>
      <c r="B508" s="1"/>
      <c r="C508" s="1"/>
      <c r="D508" s="1"/>
      <c r="E508" s="1"/>
      <c r="F508" s="1"/>
      <c r="G508" s="1"/>
      <c r="H508" s="1"/>
    </row>
    <row r="509" spans="1:8">
      <c r="A509" s="1"/>
      <c r="B509" s="1"/>
      <c r="C509" s="1"/>
      <c r="D509" s="1"/>
      <c r="E509" s="1"/>
      <c r="F509" s="1"/>
      <c r="G509" s="1"/>
      <c r="H509" s="1"/>
    </row>
    <row r="510" spans="1:8">
      <c r="A510" s="1"/>
      <c r="B510" s="1"/>
      <c r="C510" s="1"/>
      <c r="D510" s="1"/>
      <c r="E510" s="1"/>
      <c r="F510" s="1"/>
      <c r="G510" s="1"/>
      <c r="H510" s="1"/>
    </row>
    <row r="511" spans="1:8">
      <c r="A511" s="1"/>
      <c r="B511" s="1"/>
      <c r="C511" s="1"/>
      <c r="D511" s="1"/>
      <c r="E511" s="1"/>
      <c r="F511" s="1"/>
      <c r="G511" s="1"/>
      <c r="H511" s="1"/>
    </row>
    <row r="512" spans="1:8">
      <c r="A512" s="1"/>
      <c r="B512" s="1"/>
      <c r="C512" s="1"/>
      <c r="D512" s="1"/>
      <c r="E512" s="1"/>
      <c r="F512" s="1"/>
      <c r="G512" s="1"/>
      <c r="H512" s="1"/>
    </row>
    <row r="513" spans="1:8">
      <c r="A513" s="1"/>
      <c r="B513" s="1"/>
      <c r="C513" s="1"/>
      <c r="D513" s="1"/>
      <c r="E513" s="1"/>
      <c r="F513" s="1"/>
      <c r="G513" s="1"/>
      <c r="H513" s="1"/>
    </row>
    <row r="514" spans="1:8">
      <c r="A514" s="1"/>
      <c r="B514" s="1"/>
      <c r="C514" s="1"/>
      <c r="D514" s="1"/>
      <c r="E514" s="1"/>
      <c r="F514" s="1"/>
      <c r="G514" s="1"/>
      <c r="H514" s="1"/>
    </row>
    <row r="515" spans="1:8">
      <c r="A515" s="1"/>
      <c r="B515" s="1"/>
      <c r="C515" s="1"/>
      <c r="D515" s="1"/>
      <c r="E515" s="1"/>
      <c r="F515" s="1"/>
      <c r="G515" s="1"/>
      <c r="H515" s="1"/>
    </row>
    <row r="516" spans="1:8">
      <c r="A516" s="1"/>
      <c r="B516" s="1"/>
      <c r="C516" s="1"/>
      <c r="D516" s="1"/>
      <c r="E516" s="1"/>
      <c r="F516" s="1"/>
      <c r="G516" s="1"/>
      <c r="H516" s="1"/>
    </row>
    <row r="517" spans="1:8">
      <c r="A517" s="1"/>
      <c r="B517" s="1"/>
      <c r="C517" s="1"/>
      <c r="D517" s="1"/>
      <c r="E517" s="1"/>
      <c r="F517" s="1"/>
      <c r="G517" s="1"/>
      <c r="H517" s="1"/>
    </row>
    <row r="518" spans="1:8">
      <c r="A518" s="1"/>
      <c r="B518" s="1"/>
      <c r="C518" s="1"/>
      <c r="D518" s="1"/>
      <c r="E518" s="1"/>
      <c r="F518" s="1"/>
      <c r="G518" s="1"/>
      <c r="H518" s="1"/>
    </row>
    <row r="519" spans="1:8">
      <c r="A519" s="1"/>
      <c r="B519" s="1"/>
      <c r="C519" s="1"/>
      <c r="D519" s="1"/>
      <c r="E519" s="1"/>
      <c r="F519" s="1"/>
      <c r="G519" s="1"/>
      <c r="H519" s="1"/>
    </row>
    <row r="520" spans="1:8">
      <c r="A520" s="1"/>
      <c r="B520" s="1"/>
      <c r="C520" s="1"/>
      <c r="D520" s="1"/>
      <c r="E520" s="1"/>
      <c r="F520" s="1"/>
      <c r="G520" s="1"/>
      <c r="H520" s="1"/>
    </row>
    <row r="521" spans="1:8">
      <c r="A521" s="1"/>
      <c r="B521" s="1"/>
      <c r="C521" s="1"/>
      <c r="D521" s="1"/>
      <c r="E521" s="1"/>
      <c r="F521" s="1"/>
      <c r="G521" s="1"/>
      <c r="H521" s="1"/>
    </row>
    <row r="522" spans="1:8">
      <c r="A522" s="1"/>
      <c r="B522" s="1"/>
      <c r="C522" s="1"/>
      <c r="D522" s="1"/>
      <c r="E522" s="1"/>
      <c r="F522" s="1"/>
      <c r="G522" s="1"/>
      <c r="H522" s="1"/>
    </row>
    <row r="523" spans="1:8">
      <c r="A523" s="1"/>
      <c r="B523" s="1"/>
      <c r="C523" s="1"/>
      <c r="D523" s="1"/>
      <c r="E523" s="1"/>
      <c r="F523" s="1"/>
      <c r="G523" s="1"/>
      <c r="H523" s="1"/>
    </row>
    <row r="524" spans="1:8">
      <c r="A524" s="1"/>
      <c r="B524" s="1"/>
      <c r="C524" s="1"/>
      <c r="D524" s="1"/>
      <c r="E524" s="1"/>
      <c r="F524" s="1"/>
      <c r="G524" s="1"/>
      <c r="H524" s="1"/>
    </row>
    <row r="525" spans="1:8">
      <c r="A525" s="1"/>
      <c r="B525" s="1"/>
      <c r="C525" s="1"/>
      <c r="D525" s="1"/>
      <c r="E525" s="1"/>
      <c r="F525" s="1"/>
      <c r="G525" s="1"/>
      <c r="H525" s="1"/>
    </row>
    <row r="526" spans="1:8">
      <c r="A526" s="1"/>
      <c r="B526" s="1"/>
      <c r="C526" s="1"/>
      <c r="D526" s="1"/>
      <c r="E526" s="1"/>
      <c r="F526" s="1"/>
      <c r="G526" s="1"/>
      <c r="H526" s="1"/>
    </row>
    <row r="527" spans="1:8">
      <c r="A527" s="1"/>
      <c r="B527" s="1"/>
      <c r="C527" s="1"/>
      <c r="D527" s="1"/>
      <c r="E527" s="1"/>
      <c r="F527" s="1"/>
      <c r="G527" s="1"/>
      <c r="H527" s="1"/>
    </row>
    <row r="528" spans="1:8">
      <c r="A528" s="1"/>
      <c r="B528" s="1"/>
      <c r="C528" s="1"/>
      <c r="D528" s="1"/>
      <c r="E528" s="1"/>
      <c r="F528" s="1"/>
      <c r="G528" s="1"/>
      <c r="H528" s="1"/>
    </row>
    <row r="529" spans="1:8">
      <c r="A529" s="1"/>
      <c r="B529" s="1"/>
      <c r="C529" s="1"/>
      <c r="D529" s="1"/>
      <c r="E529" s="1"/>
      <c r="F529" s="1"/>
      <c r="G529" s="1"/>
      <c r="H529" s="1"/>
    </row>
    <row r="530" spans="1:8">
      <c r="A530" s="1"/>
      <c r="B530" s="1"/>
      <c r="C530" s="1"/>
      <c r="D530" s="1"/>
      <c r="E530" s="1"/>
      <c r="F530" s="1"/>
      <c r="G530" s="1"/>
      <c r="H530" s="1"/>
    </row>
    <row r="531" spans="1:8">
      <c r="A531" s="1"/>
      <c r="B531" s="1"/>
      <c r="C531" s="1"/>
      <c r="D531" s="1"/>
      <c r="E531" s="1"/>
      <c r="F531" s="1"/>
      <c r="G531" s="1"/>
      <c r="H531" s="1"/>
    </row>
    <row r="532" spans="1:8">
      <c r="A532" s="1"/>
      <c r="B532" s="1"/>
      <c r="C532" s="1"/>
      <c r="D532" s="1"/>
      <c r="E532" s="1"/>
      <c r="F532" s="1"/>
      <c r="G532" s="1"/>
      <c r="H532" s="1"/>
    </row>
    <row r="533" spans="1:8">
      <c r="A533" s="1"/>
      <c r="B533" s="1"/>
      <c r="C533" s="1"/>
      <c r="D533" s="1"/>
      <c r="E533" s="1"/>
      <c r="F533" s="1"/>
      <c r="G533" s="1"/>
      <c r="H533" s="1"/>
    </row>
    <row r="534" spans="1:8">
      <c r="A534" s="1"/>
      <c r="B534" s="1"/>
      <c r="C534" s="1"/>
      <c r="D534" s="1"/>
      <c r="E534" s="1"/>
      <c r="F534" s="1"/>
      <c r="G534" s="1"/>
      <c r="H534" s="1"/>
    </row>
    <row r="535" spans="1:8">
      <c r="A535" s="1"/>
      <c r="B535" s="1"/>
      <c r="C535" s="1"/>
      <c r="D535" s="1"/>
      <c r="E535" s="1"/>
      <c r="F535" s="1"/>
      <c r="G535" s="1"/>
      <c r="H535" s="1"/>
    </row>
    <row r="536" spans="1:8">
      <c r="A536" s="1"/>
      <c r="B536" s="1"/>
      <c r="C536" s="1"/>
      <c r="D536" s="1"/>
      <c r="E536" s="1"/>
      <c r="F536" s="1"/>
      <c r="G536" s="1"/>
      <c r="H536" s="1"/>
    </row>
    <row r="537" spans="1:8">
      <c r="A537" s="1"/>
      <c r="B537" s="1"/>
      <c r="C537" s="1"/>
      <c r="D537" s="1"/>
      <c r="E537" s="1"/>
      <c r="F537" s="1"/>
      <c r="G537" s="1"/>
      <c r="H537" s="1"/>
    </row>
    <row r="538" spans="1:8">
      <c r="A538" s="1"/>
      <c r="B538" s="1"/>
      <c r="C538" s="1"/>
      <c r="D538" s="1"/>
      <c r="E538" s="1"/>
      <c r="F538" s="1"/>
      <c r="G538" s="1"/>
      <c r="H538" s="1"/>
    </row>
    <row r="539" spans="1:8">
      <c r="A539" s="1"/>
      <c r="B539" s="1"/>
      <c r="C539" s="1"/>
      <c r="D539" s="1"/>
      <c r="E539" s="1"/>
      <c r="F539" s="1"/>
      <c r="G539" s="1"/>
      <c r="H539" s="1"/>
    </row>
    <row r="540" spans="1:8">
      <c r="A540" s="1"/>
      <c r="B540" s="1"/>
      <c r="C540" s="1"/>
      <c r="D540" s="1"/>
      <c r="E540" s="1"/>
      <c r="F540" s="1"/>
      <c r="G540" s="1"/>
      <c r="H540" s="1"/>
    </row>
    <row r="541" spans="1:8">
      <c r="A541" s="1"/>
      <c r="B541" s="1"/>
      <c r="C541" s="1"/>
      <c r="D541" s="1"/>
      <c r="E541" s="1"/>
      <c r="F541" s="1"/>
      <c r="G541" s="1"/>
      <c r="H541" s="1"/>
    </row>
    <row r="542" spans="1:8">
      <c r="A542" s="1"/>
      <c r="B542" s="1"/>
      <c r="C542" s="1"/>
      <c r="D542" s="1"/>
      <c r="E542" s="1"/>
      <c r="F542" s="1"/>
      <c r="G542" s="1"/>
      <c r="H542" s="1"/>
    </row>
    <row r="543" spans="1:8">
      <c r="A543" s="1"/>
      <c r="B543" s="1"/>
      <c r="C543" s="1"/>
      <c r="D543" s="1"/>
      <c r="E543" s="1"/>
      <c r="F543" s="1"/>
      <c r="G543" s="1"/>
      <c r="H543" s="1"/>
    </row>
    <row r="544" spans="1:8">
      <c r="A544" s="1"/>
      <c r="B544" s="1"/>
      <c r="C544" s="1"/>
      <c r="D544" s="1"/>
      <c r="E544" s="1"/>
      <c r="F544" s="1"/>
      <c r="G544" s="1"/>
      <c r="H544" s="1"/>
    </row>
    <row r="545" spans="1:8">
      <c r="A545" s="1"/>
      <c r="B545" s="1"/>
      <c r="C545" s="1"/>
      <c r="D545" s="1"/>
      <c r="E545" s="1"/>
      <c r="F545" s="1"/>
      <c r="G545" s="1"/>
      <c r="H545" s="1"/>
    </row>
    <row r="546" spans="1:8">
      <c r="A546" s="1"/>
      <c r="B546" s="1"/>
      <c r="C546" s="1"/>
      <c r="D546" s="1"/>
      <c r="E546" s="1"/>
      <c r="F546" s="1"/>
      <c r="G546" s="1"/>
      <c r="H546" s="1"/>
    </row>
    <row r="547" spans="1:8">
      <c r="A547" s="1"/>
      <c r="B547" s="1"/>
      <c r="C547" s="1"/>
      <c r="D547" s="1"/>
      <c r="E547" s="1"/>
      <c r="F547" s="1"/>
      <c r="G547" s="1"/>
      <c r="H547" s="1"/>
    </row>
    <row r="548" spans="1:8">
      <c r="A548" s="1"/>
      <c r="B548" s="1"/>
      <c r="C548" s="1"/>
      <c r="D548" s="1"/>
      <c r="E548" s="1"/>
      <c r="F548" s="1"/>
      <c r="G548" s="1"/>
      <c r="H548" s="1"/>
    </row>
    <row r="549" spans="1:8">
      <c r="A549" s="1"/>
      <c r="B549" s="1"/>
      <c r="C549" s="1"/>
      <c r="D549" s="1"/>
      <c r="E549" s="1"/>
      <c r="F549" s="1"/>
      <c r="G549" s="1"/>
      <c r="H549" s="1"/>
    </row>
    <row r="550" spans="1:8">
      <c r="A550" s="1"/>
      <c r="B550" s="1"/>
      <c r="C550" s="1"/>
      <c r="D550" s="1"/>
      <c r="E550" s="1"/>
      <c r="F550" s="1"/>
      <c r="G550" s="1"/>
      <c r="H550" s="1"/>
    </row>
    <row r="551" spans="1:8">
      <c r="A551" s="1"/>
      <c r="B551" s="1"/>
      <c r="C551" s="1"/>
      <c r="D551" s="1"/>
      <c r="E551" s="1"/>
      <c r="F551" s="1"/>
      <c r="G551" s="1"/>
      <c r="H551" s="1"/>
    </row>
    <row r="552" spans="1:8">
      <c r="A552" s="1"/>
      <c r="B552" s="1"/>
      <c r="C552" s="1"/>
      <c r="D552" s="1"/>
      <c r="E552" s="1"/>
      <c r="F552" s="1"/>
      <c r="G552" s="1"/>
      <c r="H552" s="1"/>
    </row>
    <row r="553" spans="1:8">
      <c r="A553" s="1"/>
      <c r="B553" s="1"/>
      <c r="C553" s="1"/>
      <c r="D553" s="1"/>
      <c r="E553" s="1"/>
      <c r="F553" s="1"/>
      <c r="G553" s="1"/>
      <c r="H553" s="1"/>
    </row>
    <row r="554" spans="1:8">
      <c r="A554" s="1"/>
      <c r="B554" s="1"/>
      <c r="C554" s="1"/>
      <c r="D554" s="1"/>
      <c r="E554" s="1"/>
      <c r="F554" s="1"/>
      <c r="G554" s="1"/>
      <c r="H554" s="1"/>
    </row>
    <row r="555" spans="1:8">
      <c r="A555" s="1"/>
      <c r="B555" s="1"/>
      <c r="C555" s="1"/>
      <c r="D555" s="1"/>
      <c r="E555" s="1"/>
      <c r="F555" s="1"/>
      <c r="G555" s="1"/>
      <c r="H555" s="1"/>
    </row>
    <row r="556" spans="1:8">
      <c r="A556" s="1"/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  <row r="644" spans="1:8">
      <c r="A644" s="1"/>
      <c r="B644" s="1"/>
      <c r="C644" s="1"/>
      <c r="D644" s="1"/>
      <c r="E644" s="1"/>
      <c r="F644" s="1"/>
      <c r="G644" s="1"/>
      <c r="H644" s="1"/>
    </row>
  </sheetData>
  <mergeCells count="11">
    <mergeCell ref="E200:H200"/>
    <mergeCell ref="E201:H201"/>
    <mergeCell ref="E202:H202"/>
    <mergeCell ref="E203:H203"/>
    <mergeCell ref="E14:H14"/>
    <mergeCell ref="B11:H11"/>
    <mergeCell ref="B12:H12"/>
    <mergeCell ref="B13:H13"/>
    <mergeCell ref="A1:H7"/>
    <mergeCell ref="A10:H10"/>
    <mergeCell ref="A8:H8"/>
  </mergeCells>
  <pageMargins left="0.51181102362204722" right="0.51181102362204722" top="0.78740157480314965" bottom="0.78740157480314965" header="0.31496062992125984" footer="0.31496062992125984"/>
  <pageSetup paperSize="9" scale="80" fitToHeight="0" orientation="landscape" r:id="rId1"/>
  <headerFooter>
    <oddFooter xml:space="preserve">&amp;C&amp;"Arial,Normal"&amp;8Prefeitura Municipal da Estância Turística de Paraguaçu Paulista - Rua Polidoro Simões, 533 (sede provisória) CEP 19.700-000Fone: (18)3361-9100 - Fax: (18)3361-1331 – Estância Turística de Paraguaçu Paulista - SP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643"/>
  <sheetViews>
    <sheetView view="pageBreakPreview" topLeftCell="A169" zoomScale="70" zoomScaleNormal="120" zoomScaleSheetLayoutView="70" workbookViewId="0">
      <selection activeCell="H204" sqref="H204"/>
    </sheetView>
  </sheetViews>
  <sheetFormatPr defaultRowHeight="15"/>
  <cols>
    <col min="1" max="1" width="7.5703125" customWidth="1"/>
    <col min="2" max="3" width="13.28515625" customWidth="1"/>
    <col min="4" max="4" width="79.28515625" customWidth="1"/>
    <col min="6" max="6" width="11" customWidth="1"/>
    <col min="7" max="7" width="15.28515625" customWidth="1"/>
    <col min="8" max="8" width="28.42578125" customWidth="1"/>
    <col min="9" max="9" width="20.28515625" customWidth="1"/>
    <col min="10" max="10" width="12.7109375" bestFit="1" customWidth="1"/>
    <col min="12" max="12" width="17.85546875" customWidth="1"/>
    <col min="13" max="13" width="13.7109375" bestFit="1" customWidth="1"/>
  </cols>
  <sheetData>
    <row r="1" spans="1:8" ht="15" customHeight="1">
      <c r="A1" s="230" t="s">
        <v>64</v>
      </c>
      <c r="B1" s="231"/>
      <c r="C1" s="231"/>
      <c r="D1" s="231"/>
      <c r="E1" s="231"/>
      <c r="F1" s="231"/>
      <c r="G1" s="231"/>
      <c r="H1" s="232"/>
    </row>
    <row r="2" spans="1:8" ht="15" customHeight="1">
      <c r="A2" s="233"/>
      <c r="B2" s="234"/>
      <c r="C2" s="234"/>
      <c r="D2" s="234"/>
      <c r="E2" s="234"/>
      <c r="F2" s="234"/>
      <c r="G2" s="234"/>
      <c r="H2" s="235"/>
    </row>
    <row r="3" spans="1:8" ht="15" customHeight="1">
      <c r="A3" s="233"/>
      <c r="B3" s="234"/>
      <c r="C3" s="234"/>
      <c r="D3" s="234"/>
      <c r="E3" s="234"/>
      <c r="F3" s="234"/>
      <c r="G3" s="234"/>
      <c r="H3" s="235"/>
    </row>
    <row r="4" spans="1:8" ht="15" customHeight="1">
      <c r="A4" s="233"/>
      <c r="B4" s="234"/>
      <c r="C4" s="234"/>
      <c r="D4" s="234"/>
      <c r="E4" s="234"/>
      <c r="F4" s="234"/>
      <c r="G4" s="234"/>
      <c r="H4" s="235"/>
    </row>
    <row r="5" spans="1:8" ht="15" customHeight="1">
      <c r="A5" s="233"/>
      <c r="B5" s="234"/>
      <c r="C5" s="234"/>
      <c r="D5" s="234"/>
      <c r="E5" s="234"/>
      <c r="F5" s="234"/>
      <c r="G5" s="234"/>
      <c r="H5" s="235"/>
    </row>
    <row r="6" spans="1:8" ht="15" customHeight="1">
      <c r="A6" s="233"/>
      <c r="B6" s="234"/>
      <c r="C6" s="234"/>
      <c r="D6" s="234"/>
      <c r="E6" s="234"/>
      <c r="F6" s="234"/>
      <c r="G6" s="234"/>
      <c r="H6" s="235"/>
    </row>
    <row r="7" spans="1:8" ht="15" customHeight="1">
      <c r="A7" s="233"/>
      <c r="B7" s="234"/>
      <c r="C7" s="234"/>
      <c r="D7" s="234"/>
      <c r="E7" s="234"/>
      <c r="F7" s="234"/>
      <c r="G7" s="234"/>
      <c r="H7" s="235"/>
    </row>
    <row r="8" spans="1:8" ht="15" customHeight="1">
      <c r="A8" s="236" t="s">
        <v>63</v>
      </c>
      <c r="B8" s="237"/>
      <c r="C8" s="237"/>
      <c r="D8" s="237"/>
      <c r="E8" s="237"/>
      <c r="F8" s="237"/>
      <c r="G8" s="237"/>
      <c r="H8" s="238"/>
    </row>
    <row r="9" spans="1:8" ht="15" customHeight="1">
      <c r="A9" s="63"/>
      <c r="B9" s="64"/>
      <c r="C9" s="64"/>
      <c r="D9" s="64"/>
      <c r="E9" s="64"/>
      <c r="F9" s="64"/>
      <c r="G9" s="64"/>
      <c r="H9" s="65"/>
    </row>
    <row r="10" spans="1:8" ht="15" customHeight="1">
      <c r="A10" s="239" t="s">
        <v>704</v>
      </c>
      <c r="B10" s="240"/>
      <c r="C10" s="240"/>
      <c r="D10" s="240"/>
      <c r="E10" s="240"/>
      <c r="F10" s="240"/>
      <c r="G10" s="240"/>
      <c r="H10" s="241"/>
    </row>
    <row r="11" spans="1:8" ht="15" customHeight="1">
      <c r="A11" s="4"/>
      <c r="B11" s="242"/>
      <c r="C11" s="242"/>
      <c r="D11" s="242"/>
      <c r="E11" s="242"/>
      <c r="F11" s="242"/>
      <c r="G11" s="242"/>
      <c r="H11" s="243"/>
    </row>
    <row r="12" spans="1:8" ht="15" customHeight="1">
      <c r="A12" s="4"/>
      <c r="B12" s="244" t="s">
        <v>345</v>
      </c>
      <c r="C12" s="244"/>
      <c r="D12" s="244"/>
      <c r="E12" s="244"/>
      <c r="F12" s="244"/>
      <c r="G12" s="244"/>
      <c r="H12" s="245"/>
    </row>
    <row r="13" spans="1:8" ht="15" customHeight="1">
      <c r="A13" s="4"/>
      <c r="B13" s="244" t="s">
        <v>308</v>
      </c>
      <c r="C13" s="244"/>
      <c r="D13" s="244"/>
      <c r="E13" s="244"/>
      <c r="F13" s="244"/>
      <c r="G13" s="244"/>
      <c r="H13" s="245"/>
    </row>
    <row r="14" spans="1:8" ht="15" customHeight="1">
      <c r="A14" s="5"/>
      <c r="B14" s="6" t="s">
        <v>707</v>
      </c>
      <c r="C14" s="6"/>
      <c r="D14" s="6"/>
      <c r="E14" s="246" t="s">
        <v>347</v>
      </c>
      <c r="F14" s="246"/>
      <c r="G14" s="246"/>
      <c r="H14" s="247"/>
    </row>
    <row r="15" spans="1:8" ht="25.5">
      <c r="A15" s="9" t="s">
        <v>0</v>
      </c>
      <c r="B15" s="10" t="s">
        <v>1</v>
      </c>
      <c r="C15" s="10" t="s">
        <v>2</v>
      </c>
      <c r="D15" s="9" t="s">
        <v>3</v>
      </c>
      <c r="E15" s="9" t="s">
        <v>4</v>
      </c>
      <c r="F15" s="9" t="s">
        <v>5</v>
      </c>
      <c r="G15" s="250" t="s">
        <v>349</v>
      </c>
      <c r="H15" s="251"/>
    </row>
    <row r="16" spans="1:8" ht="9" customHeight="1">
      <c r="A16" s="2"/>
      <c r="B16" s="2"/>
      <c r="C16" s="2"/>
      <c r="D16" s="2"/>
      <c r="E16" s="2"/>
      <c r="F16" s="2"/>
      <c r="G16" s="248"/>
      <c r="H16" s="249"/>
    </row>
    <row r="17" spans="1:13">
      <c r="A17" s="11">
        <v>1</v>
      </c>
      <c r="B17" s="3"/>
      <c r="C17" s="3"/>
      <c r="D17" s="11" t="s">
        <v>10</v>
      </c>
      <c r="E17" s="3"/>
      <c r="F17" s="3"/>
      <c r="G17" s="252"/>
      <c r="H17" s="253"/>
      <c r="I17" s="24"/>
    </row>
    <row r="18" spans="1:13" s="48" customFormat="1" ht="29.25" customHeight="1">
      <c r="A18" s="60" t="s">
        <v>9</v>
      </c>
      <c r="B18" s="50" t="s">
        <v>336</v>
      </c>
      <c r="C18" s="45" t="s">
        <v>469</v>
      </c>
      <c r="D18" s="52" t="s">
        <v>468</v>
      </c>
      <c r="E18" s="45" t="s">
        <v>40</v>
      </c>
      <c r="F18" s="43">
        <f>ROUND((3*1.5)+(1.5*1),2)</f>
        <v>6</v>
      </c>
      <c r="G18" s="224" t="s">
        <v>446</v>
      </c>
      <c r="H18" s="225"/>
    </row>
    <row r="19" spans="1:13" s="48" customFormat="1">
      <c r="A19" s="60" t="s">
        <v>142</v>
      </c>
      <c r="B19" s="50" t="s">
        <v>336</v>
      </c>
      <c r="C19" s="45" t="s">
        <v>143</v>
      </c>
      <c r="D19" s="52" t="s">
        <v>144</v>
      </c>
      <c r="E19" s="45" t="s">
        <v>43</v>
      </c>
      <c r="F19" s="43">
        <f>6+6</f>
        <v>12</v>
      </c>
      <c r="G19" s="222" t="s">
        <v>449</v>
      </c>
      <c r="H19" s="223"/>
    </row>
    <row r="20" spans="1:13" s="48" customFormat="1">
      <c r="A20" s="60" t="s">
        <v>148</v>
      </c>
      <c r="B20" s="50" t="s">
        <v>336</v>
      </c>
      <c r="C20" s="45" t="s">
        <v>145</v>
      </c>
      <c r="D20" s="52" t="s">
        <v>146</v>
      </c>
      <c r="E20" s="45" t="s">
        <v>147</v>
      </c>
      <c r="F20" s="43">
        <f>F19*4</f>
        <v>48</v>
      </c>
      <c r="G20" s="222" t="s">
        <v>448</v>
      </c>
      <c r="H20" s="223"/>
    </row>
    <row r="21" spans="1:13" s="48" customFormat="1">
      <c r="A21" s="60" t="s">
        <v>150</v>
      </c>
      <c r="B21" s="50" t="s">
        <v>336</v>
      </c>
      <c r="C21" s="45" t="s">
        <v>149</v>
      </c>
      <c r="D21" s="52" t="s">
        <v>151</v>
      </c>
      <c r="E21" s="45" t="s">
        <v>40</v>
      </c>
      <c r="F21" s="43">
        <v>27.61</v>
      </c>
      <c r="G21" s="222" t="s">
        <v>447</v>
      </c>
      <c r="H21" s="223"/>
    </row>
    <row r="22" spans="1:13" s="48" customFormat="1" ht="30.75" customHeight="1">
      <c r="A22" s="60" t="s">
        <v>152</v>
      </c>
      <c r="B22" s="50" t="s">
        <v>336</v>
      </c>
      <c r="C22" s="45" t="s">
        <v>156</v>
      </c>
      <c r="D22" s="52" t="s">
        <v>157</v>
      </c>
      <c r="E22" s="45" t="s">
        <v>40</v>
      </c>
      <c r="F22" s="43">
        <f>((5.1+1.5+9.8+9.4+1.05)*2.2)</f>
        <v>59.07</v>
      </c>
      <c r="G22" s="224" t="s">
        <v>489</v>
      </c>
      <c r="H22" s="225"/>
    </row>
    <row r="23" spans="1:13" s="48" customFormat="1">
      <c r="A23" s="60" t="s">
        <v>158</v>
      </c>
      <c r="B23" s="50" t="s">
        <v>336</v>
      </c>
      <c r="C23" s="45" t="s">
        <v>153</v>
      </c>
      <c r="D23" s="52" t="s">
        <v>154</v>
      </c>
      <c r="E23" s="45" t="s">
        <v>155</v>
      </c>
      <c r="F23" s="43">
        <f>1*4</f>
        <v>4</v>
      </c>
      <c r="G23" s="222" t="s">
        <v>350</v>
      </c>
      <c r="H23" s="223"/>
    </row>
    <row r="24" spans="1:13" s="48" customFormat="1">
      <c r="A24" s="60"/>
      <c r="B24" s="50"/>
      <c r="C24" s="45"/>
      <c r="D24" s="139"/>
      <c r="E24" s="45"/>
      <c r="F24" s="43"/>
      <c r="G24" s="222"/>
      <c r="H24" s="223"/>
    </row>
    <row r="25" spans="1:13">
      <c r="A25" s="11">
        <v>2</v>
      </c>
      <c r="B25" s="8"/>
      <c r="C25" s="8"/>
      <c r="D25" s="11" t="s">
        <v>65</v>
      </c>
      <c r="E25" s="14"/>
      <c r="F25" s="21"/>
      <c r="G25" s="212"/>
      <c r="H25" s="213"/>
      <c r="I25" s="24"/>
    </row>
    <row r="26" spans="1:13" s="48" customFormat="1" ht="45" customHeight="1">
      <c r="A26" s="44" t="s">
        <v>11</v>
      </c>
      <c r="B26" s="50" t="s">
        <v>336</v>
      </c>
      <c r="C26" s="45" t="s">
        <v>103</v>
      </c>
      <c r="D26" s="52" t="s">
        <v>104</v>
      </c>
      <c r="E26" s="45" t="s">
        <v>41</v>
      </c>
      <c r="F26" s="43">
        <f>ROUND((8.54*2.2*0.2)+(9.4*2*0.2),2)</f>
        <v>7.52</v>
      </c>
      <c r="G26" s="224" t="s">
        <v>518</v>
      </c>
      <c r="H26" s="225"/>
    </row>
    <row r="27" spans="1:13" s="48" customFormat="1" ht="44.25" customHeight="1">
      <c r="A27" s="44" t="s">
        <v>97</v>
      </c>
      <c r="B27" s="50" t="s">
        <v>336</v>
      </c>
      <c r="C27" s="45" t="s">
        <v>105</v>
      </c>
      <c r="D27" s="52" t="s">
        <v>106</v>
      </c>
      <c r="E27" s="45" t="s">
        <v>41</v>
      </c>
      <c r="F27" s="43">
        <f>ROUND((11.5*0.05)+(20.05*0.05),2)</f>
        <v>1.58</v>
      </c>
      <c r="G27" s="224" t="s">
        <v>450</v>
      </c>
      <c r="H27" s="225"/>
      <c r="I27" s="54"/>
    </row>
    <row r="28" spans="1:13" s="48" customFormat="1" ht="47.25" customHeight="1">
      <c r="A28" s="44" t="s">
        <v>98</v>
      </c>
      <c r="B28" s="50" t="s">
        <v>336</v>
      </c>
      <c r="C28" s="45" t="s">
        <v>269</v>
      </c>
      <c r="D28" s="52" t="s">
        <v>271</v>
      </c>
      <c r="E28" s="45" t="s">
        <v>40</v>
      </c>
      <c r="F28" s="43">
        <f>ROUND((6.35*5)*1.077+(5.26*4.28),2)</f>
        <v>56.71</v>
      </c>
      <c r="G28" s="224" t="s">
        <v>490</v>
      </c>
      <c r="H28" s="225"/>
      <c r="I28" s="54"/>
    </row>
    <row r="29" spans="1:13" s="48" customFormat="1" ht="50.25" customHeight="1">
      <c r="A29" s="44" t="s">
        <v>99</v>
      </c>
      <c r="B29" s="50" t="s">
        <v>336</v>
      </c>
      <c r="C29" s="45" t="s">
        <v>272</v>
      </c>
      <c r="D29" s="52" t="s">
        <v>273</v>
      </c>
      <c r="E29" s="45" t="s">
        <v>40</v>
      </c>
      <c r="F29" s="43">
        <f>31.42*1.077</f>
        <v>33.83934</v>
      </c>
      <c r="G29" s="224" t="s">
        <v>491</v>
      </c>
      <c r="H29" s="225"/>
    </row>
    <row r="30" spans="1:13" s="48" customFormat="1" ht="33.75" customHeight="1">
      <c r="A30" s="44" t="s">
        <v>100</v>
      </c>
      <c r="B30" s="50" t="s">
        <v>336</v>
      </c>
      <c r="C30" s="45" t="s">
        <v>274</v>
      </c>
      <c r="D30" s="52" t="s">
        <v>275</v>
      </c>
      <c r="E30" s="45" t="s">
        <v>40</v>
      </c>
      <c r="F30" s="43">
        <f>ROUND((1.2*2.05*3)+(1.2*3)+(1.5*0.8*2),2)</f>
        <v>13.38</v>
      </c>
      <c r="G30" s="224" t="s">
        <v>492</v>
      </c>
      <c r="H30" s="225"/>
      <c r="M30" s="57"/>
    </row>
    <row r="31" spans="1:13" s="48" customFormat="1" ht="16.5" customHeight="1">
      <c r="A31" s="44" t="s">
        <v>101</v>
      </c>
      <c r="B31" s="50" t="s">
        <v>336</v>
      </c>
      <c r="C31" s="45" t="s">
        <v>249</v>
      </c>
      <c r="D31" s="52" t="s">
        <v>250</v>
      </c>
      <c r="E31" s="45" t="s">
        <v>43</v>
      </c>
      <c r="F31" s="43">
        <f>ROUND(13.92,2)</f>
        <v>13.92</v>
      </c>
      <c r="G31" s="222" t="s">
        <v>493</v>
      </c>
      <c r="H31" s="223"/>
      <c r="M31" s="58"/>
    </row>
    <row r="32" spans="1:13" s="48" customFormat="1" ht="54.75" customHeight="1">
      <c r="A32" s="44" t="s">
        <v>102</v>
      </c>
      <c r="B32" s="50" t="s">
        <v>336</v>
      </c>
      <c r="C32" s="45" t="s">
        <v>278</v>
      </c>
      <c r="D32" s="52" t="s">
        <v>475</v>
      </c>
      <c r="E32" s="45" t="s">
        <v>40</v>
      </c>
      <c r="F32" s="43">
        <f>((4.95+4.95+4.2+4.2+2.8+2.8+3.28+3.28+13.34)*1.5)</f>
        <v>65.7</v>
      </c>
      <c r="G32" s="224" t="s">
        <v>494</v>
      </c>
      <c r="H32" s="225"/>
      <c r="M32" s="59"/>
    </row>
    <row r="33" spans="1:13" s="48" customFormat="1" ht="30.75" customHeight="1">
      <c r="A33" s="44" t="s">
        <v>141</v>
      </c>
      <c r="B33" s="50" t="s">
        <v>336</v>
      </c>
      <c r="C33" s="45" t="s">
        <v>270</v>
      </c>
      <c r="D33" s="52" t="s">
        <v>280</v>
      </c>
      <c r="E33" s="45" t="s">
        <v>40</v>
      </c>
      <c r="F33" s="43">
        <f>(8.45+8.47+2.07+10.23+11.05)</f>
        <v>40.270000000000003</v>
      </c>
      <c r="G33" s="224" t="s">
        <v>495</v>
      </c>
      <c r="H33" s="225"/>
      <c r="M33" s="59"/>
    </row>
    <row r="34" spans="1:13" s="48" customFormat="1" ht="30.75" customHeight="1">
      <c r="A34" s="44" t="s">
        <v>298</v>
      </c>
      <c r="B34" s="50" t="s">
        <v>336</v>
      </c>
      <c r="C34" s="120" t="s">
        <v>297</v>
      </c>
      <c r="D34" s="52" t="s">
        <v>299</v>
      </c>
      <c r="E34" s="45" t="s">
        <v>40</v>
      </c>
      <c r="F34" s="43">
        <f>((1.5*0.8)*2+(1.2*3)+(2.1*0.9)*2)</f>
        <v>9.7800000000000011</v>
      </c>
      <c r="G34" s="224" t="s">
        <v>496</v>
      </c>
      <c r="H34" s="225"/>
      <c r="M34" s="59"/>
    </row>
    <row r="35" spans="1:13" s="48" customFormat="1" ht="29.25">
      <c r="A35" s="44" t="s">
        <v>309</v>
      </c>
      <c r="B35" s="50" t="s">
        <v>336</v>
      </c>
      <c r="C35" s="45" t="s">
        <v>310</v>
      </c>
      <c r="D35" s="52" t="s">
        <v>474</v>
      </c>
      <c r="E35" s="45" t="s">
        <v>161</v>
      </c>
      <c r="F35" s="43">
        <v>3</v>
      </c>
      <c r="G35" s="224" t="s">
        <v>497</v>
      </c>
      <c r="H35" s="225"/>
      <c r="M35" s="59"/>
    </row>
    <row r="36" spans="1:13" s="48" customFormat="1">
      <c r="A36" s="44" t="s">
        <v>321</v>
      </c>
      <c r="B36" s="50" t="s">
        <v>336</v>
      </c>
      <c r="C36" s="45" t="s">
        <v>320</v>
      </c>
      <c r="D36" s="52" t="s">
        <v>322</v>
      </c>
      <c r="E36" s="45" t="s">
        <v>43</v>
      </c>
      <c r="F36" s="43">
        <f>5+5.26</f>
        <v>10.26</v>
      </c>
      <c r="G36" s="222" t="s">
        <v>498</v>
      </c>
      <c r="H36" s="223"/>
      <c r="M36" s="59"/>
    </row>
    <row r="37" spans="1:13" s="48" customFormat="1" ht="45.75" customHeight="1">
      <c r="A37" s="44" t="s">
        <v>327</v>
      </c>
      <c r="B37" s="50" t="s">
        <v>336</v>
      </c>
      <c r="C37" s="45" t="s">
        <v>326</v>
      </c>
      <c r="D37" s="52" t="s">
        <v>476</v>
      </c>
      <c r="E37" s="45" t="s">
        <v>40</v>
      </c>
      <c r="F37" s="43">
        <f>(13.33*2)+(23.73*1.5)+30.08</f>
        <v>92.334999999999994</v>
      </c>
      <c r="G37" s="224" t="s">
        <v>499</v>
      </c>
      <c r="H37" s="225"/>
      <c r="M37" s="59"/>
    </row>
    <row r="38" spans="1:13" s="48" customFormat="1" ht="46.5" customHeight="1">
      <c r="A38" s="44" t="s">
        <v>479</v>
      </c>
      <c r="B38" s="50" t="s">
        <v>336</v>
      </c>
      <c r="C38" s="45" t="s">
        <v>477</v>
      </c>
      <c r="D38" s="52" t="s">
        <v>478</v>
      </c>
      <c r="E38" s="45" t="s">
        <v>41</v>
      </c>
      <c r="F38" s="43">
        <f>(40.65+26.04)*0.05</f>
        <v>3.3345000000000002</v>
      </c>
      <c r="G38" s="224" t="s">
        <v>500</v>
      </c>
      <c r="H38" s="225"/>
      <c r="M38" s="59"/>
    </row>
    <row r="39" spans="1:13" s="48" customFormat="1">
      <c r="A39" s="44"/>
      <c r="B39" s="45"/>
      <c r="C39" s="45"/>
      <c r="D39" s="139"/>
      <c r="E39" s="45"/>
      <c r="F39" s="43"/>
      <c r="G39" s="222"/>
      <c r="H39" s="223"/>
      <c r="M39" s="57"/>
    </row>
    <row r="40" spans="1:13">
      <c r="A40" s="11">
        <v>3</v>
      </c>
      <c r="B40" s="8"/>
      <c r="C40" s="8"/>
      <c r="D40" s="11" t="s">
        <v>279</v>
      </c>
      <c r="E40" s="14"/>
      <c r="F40" s="21"/>
      <c r="G40" s="212"/>
      <c r="H40" s="213"/>
      <c r="I40" s="24"/>
      <c r="M40" s="24"/>
    </row>
    <row r="41" spans="1:13" s="48" customFormat="1" ht="27.75" customHeight="1">
      <c r="A41" s="44" t="s">
        <v>12</v>
      </c>
      <c r="B41" s="50" t="s">
        <v>336</v>
      </c>
      <c r="C41" s="45" t="s">
        <v>340</v>
      </c>
      <c r="D41" s="52" t="s">
        <v>665</v>
      </c>
      <c r="E41" s="45" t="s">
        <v>43</v>
      </c>
      <c r="F41" s="43">
        <f>(14*3)</f>
        <v>42</v>
      </c>
      <c r="G41" s="224" t="s">
        <v>671</v>
      </c>
      <c r="H41" s="225"/>
      <c r="M41" s="53"/>
    </row>
    <row r="42" spans="1:13" s="48" customFormat="1" ht="48.75" customHeight="1">
      <c r="A42" s="44" t="s">
        <v>109</v>
      </c>
      <c r="B42" s="50" t="s">
        <v>336</v>
      </c>
      <c r="C42" s="45" t="s">
        <v>115</v>
      </c>
      <c r="D42" s="52" t="s">
        <v>666</v>
      </c>
      <c r="E42" s="45" t="s">
        <v>41</v>
      </c>
      <c r="F42" s="43">
        <f>(0.7*0.7*0.35*9)+((6.8+7.33+2.8+2.8+2.1+2.1+1.5+4.76)*0.2*0.3)</f>
        <v>3.3548999999999998</v>
      </c>
      <c r="G42" s="224" t="s">
        <v>672</v>
      </c>
      <c r="H42" s="225"/>
    </row>
    <row r="43" spans="1:13" s="48" customFormat="1" ht="41.25" customHeight="1">
      <c r="A43" s="44" t="s">
        <v>110</v>
      </c>
      <c r="B43" s="50" t="s">
        <v>336</v>
      </c>
      <c r="C43" s="45" t="s">
        <v>47</v>
      </c>
      <c r="D43" s="52" t="s">
        <v>667</v>
      </c>
      <c r="E43" s="45" t="s">
        <v>41</v>
      </c>
      <c r="F43" s="43">
        <f>F42+F47</f>
        <v>7.6889000000000003</v>
      </c>
      <c r="G43" s="224" t="s">
        <v>686</v>
      </c>
      <c r="H43" s="225"/>
    </row>
    <row r="44" spans="1:13" s="48" customFormat="1" ht="33" customHeight="1">
      <c r="A44" s="44" t="s">
        <v>111</v>
      </c>
      <c r="B44" s="50" t="s">
        <v>336</v>
      </c>
      <c r="C44" s="45" t="s">
        <v>117</v>
      </c>
      <c r="D44" s="52" t="s">
        <v>668</v>
      </c>
      <c r="E44" s="45" t="s">
        <v>119</v>
      </c>
      <c r="F44" s="43">
        <f>3.35*80*0.8</f>
        <v>214.4</v>
      </c>
      <c r="G44" s="224" t="s">
        <v>673</v>
      </c>
      <c r="H44" s="225"/>
    </row>
    <row r="45" spans="1:13" s="48" customFormat="1" ht="34.5" customHeight="1">
      <c r="A45" s="44" t="s">
        <v>112</v>
      </c>
      <c r="B45" s="50" t="s">
        <v>336</v>
      </c>
      <c r="C45" s="45" t="s">
        <v>120</v>
      </c>
      <c r="D45" s="52" t="s">
        <v>669</v>
      </c>
      <c r="E45" s="45" t="s">
        <v>119</v>
      </c>
      <c r="F45" s="43">
        <f>3.35*80*0.2</f>
        <v>53.6</v>
      </c>
      <c r="G45" s="224" t="s">
        <v>674</v>
      </c>
      <c r="H45" s="225"/>
    </row>
    <row r="46" spans="1:13" s="48" customFormat="1" ht="38.25" customHeight="1">
      <c r="A46" s="44" t="s">
        <v>113</v>
      </c>
      <c r="B46" s="50" t="s">
        <v>336</v>
      </c>
      <c r="C46" s="45" t="s">
        <v>48</v>
      </c>
      <c r="D46" s="52" t="s">
        <v>480</v>
      </c>
      <c r="E46" s="45" t="s">
        <v>41</v>
      </c>
      <c r="F46" s="43">
        <f>((6.8+7.33+2.8+2.8+2.1+2.1+1.5+4.76)*0.4*0.3)+(0.65*0.7*0.7*9)</f>
        <v>6.4893000000000001</v>
      </c>
      <c r="G46" s="224" t="s">
        <v>601</v>
      </c>
      <c r="H46" s="225"/>
    </row>
    <row r="47" spans="1:13" s="48" customFormat="1" ht="72" customHeight="1">
      <c r="A47" s="44" t="s">
        <v>114</v>
      </c>
      <c r="B47" s="50" t="s">
        <v>336</v>
      </c>
      <c r="C47" s="45" t="s">
        <v>313</v>
      </c>
      <c r="D47" s="52" t="s">
        <v>483</v>
      </c>
      <c r="E47" s="45" t="s">
        <v>41</v>
      </c>
      <c r="F47" s="43">
        <f>(86.68*0.05)</f>
        <v>4.3340000000000005</v>
      </c>
      <c r="G47" s="224" t="s">
        <v>687</v>
      </c>
      <c r="H47" s="225"/>
    </row>
    <row r="48" spans="1:13" s="48" customFormat="1" ht="60.75" customHeight="1">
      <c r="A48" s="44" t="s">
        <v>482</v>
      </c>
      <c r="B48" s="50" t="s">
        <v>336</v>
      </c>
      <c r="C48" s="45" t="s">
        <v>481</v>
      </c>
      <c r="D48" s="52" t="s">
        <v>484</v>
      </c>
      <c r="E48" s="45" t="s">
        <v>41</v>
      </c>
      <c r="F48" s="43">
        <f>(0.7*0.7*9*0.03)+(6.8+7.33+2.8+2.8+2.2+2.1+1.5+4.76)*0.4*0.03</f>
        <v>0.49577999999999994</v>
      </c>
      <c r="G48" s="224" t="s">
        <v>602</v>
      </c>
      <c r="H48" s="225"/>
    </row>
    <row r="49" spans="1:10" s="48" customFormat="1" ht="32.25" customHeight="1">
      <c r="A49" s="44" t="s">
        <v>594</v>
      </c>
      <c r="B49" s="50" t="s">
        <v>336</v>
      </c>
      <c r="C49" s="45" t="s">
        <v>593</v>
      </c>
      <c r="D49" s="52" t="s">
        <v>592</v>
      </c>
      <c r="E49" s="45" t="s">
        <v>40</v>
      </c>
      <c r="F49" s="43">
        <f>(6.8+7.33+2.8+2.8+2.1+2.1+1.5+4.76)*2*0.3</f>
        <v>18.114000000000001</v>
      </c>
      <c r="G49" s="224" t="s">
        <v>600</v>
      </c>
      <c r="H49" s="225"/>
    </row>
    <row r="50" spans="1:10" s="48" customFormat="1">
      <c r="A50" s="44"/>
      <c r="B50" s="45"/>
      <c r="C50" s="45"/>
      <c r="D50" s="139"/>
      <c r="E50" s="45"/>
      <c r="F50" s="43"/>
      <c r="G50" s="222"/>
      <c r="H50" s="223"/>
    </row>
    <row r="51" spans="1:10">
      <c r="A51" s="11">
        <v>4</v>
      </c>
      <c r="B51" s="8"/>
      <c r="C51" s="8"/>
      <c r="D51" s="11" t="s">
        <v>35</v>
      </c>
      <c r="E51" s="14"/>
      <c r="F51" s="21"/>
      <c r="G51" s="212"/>
      <c r="H51" s="213"/>
    </row>
    <row r="52" spans="1:10" s="48" customFormat="1" ht="69" customHeight="1">
      <c r="A52" s="44" t="s">
        <v>13</v>
      </c>
      <c r="B52" s="50" t="s">
        <v>336</v>
      </c>
      <c r="C52" s="45" t="s">
        <v>122</v>
      </c>
      <c r="D52" s="52" t="s">
        <v>485</v>
      </c>
      <c r="E52" s="45" t="s">
        <v>41</v>
      </c>
      <c r="F52" s="43">
        <f>((6.8+7.33+(2.8*2)+1.5+4.76)*0.15*0.25)+((1.5+2.57)*0.15*0.22)+(0.15*0.22*2.9*14)</f>
        <v>2.4487350000000001</v>
      </c>
      <c r="G52" s="224" t="s">
        <v>501</v>
      </c>
      <c r="H52" s="225"/>
    </row>
    <row r="53" spans="1:10" s="48" customFormat="1">
      <c r="A53" s="44" t="s">
        <v>14</v>
      </c>
      <c r="B53" s="50" t="s">
        <v>336</v>
      </c>
      <c r="C53" s="45" t="s">
        <v>117</v>
      </c>
      <c r="D53" s="52" t="s">
        <v>118</v>
      </c>
      <c r="E53" s="45" t="s">
        <v>119</v>
      </c>
      <c r="F53" s="43">
        <f>(F52*90*0.8)</f>
        <v>176.30892000000003</v>
      </c>
      <c r="G53" s="222" t="s">
        <v>502</v>
      </c>
      <c r="H53" s="223"/>
    </row>
    <row r="54" spans="1:10" s="48" customFormat="1">
      <c r="A54" s="44" t="s">
        <v>15</v>
      </c>
      <c r="B54" s="50" t="s">
        <v>336</v>
      </c>
      <c r="C54" s="45" t="s">
        <v>120</v>
      </c>
      <c r="D54" s="52" t="s">
        <v>121</v>
      </c>
      <c r="E54" s="45" t="s">
        <v>119</v>
      </c>
      <c r="F54" s="43">
        <f>(F52*90*0.2)</f>
        <v>44.077230000000007</v>
      </c>
      <c r="G54" s="222" t="s">
        <v>503</v>
      </c>
      <c r="H54" s="223"/>
    </row>
    <row r="55" spans="1:10" s="48" customFormat="1" ht="52.5" customHeight="1">
      <c r="A55" s="44" t="s">
        <v>42</v>
      </c>
      <c r="B55" s="50" t="s">
        <v>336</v>
      </c>
      <c r="C55" s="45" t="s">
        <v>123</v>
      </c>
      <c r="D55" s="52" t="s">
        <v>486</v>
      </c>
      <c r="E55" s="45" t="s">
        <v>40</v>
      </c>
      <c r="F55" s="43">
        <f>(((6.8+7.33+(2.8*2)+1.5+4.76)*0.3*2))+(((1.5+2.57)*0.15*0.22)*0.3*2)+(2.9*2*0.3*14)</f>
        <v>40.034585999999997</v>
      </c>
      <c r="G55" s="224" t="s">
        <v>504</v>
      </c>
      <c r="H55" s="225"/>
      <c r="J55" s="53"/>
    </row>
    <row r="56" spans="1:10" s="48" customFormat="1" ht="46.5" customHeight="1">
      <c r="A56" s="44" t="s">
        <v>44</v>
      </c>
      <c r="B56" s="50" t="s">
        <v>336</v>
      </c>
      <c r="C56" s="45" t="s">
        <v>47</v>
      </c>
      <c r="D56" s="52" t="s">
        <v>116</v>
      </c>
      <c r="E56" s="45" t="s">
        <v>41</v>
      </c>
      <c r="F56" s="43">
        <f>F52</f>
        <v>2.4487350000000001</v>
      </c>
      <c r="G56" s="224" t="s">
        <v>501</v>
      </c>
      <c r="H56" s="225"/>
    </row>
    <row r="57" spans="1:10" s="48" customFormat="1" ht="29.25">
      <c r="A57" s="44" t="s">
        <v>128</v>
      </c>
      <c r="B57" s="50" t="s">
        <v>336</v>
      </c>
      <c r="C57" s="45" t="s">
        <v>131</v>
      </c>
      <c r="D57" s="52" t="s">
        <v>132</v>
      </c>
      <c r="E57" s="45" t="s">
        <v>40</v>
      </c>
      <c r="F57" s="43">
        <f>10.12+13.77</f>
        <v>23.89</v>
      </c>
      <c r="G57" s="222" t="s">
        <v>661</v>
      </c>
      <c r="H57" s="223"/>
    </row>
    <row r="58" spans="1:10" s="48" customFormat="1">
      <c r="A58" s="44"/>
      <c r="B58" s="50"/>
      <c r="C58" s="45"/>
      <c r="D58" s="139"/>
      <c r="F58" s="43"/>
      <c r="G58" s="222"/>
      <c r="H58" s="223"/>
    </row>
    <row r="59" spans="1:10">
      <c r="A59" s="11">
        <v>5</v>
      </c>
      <c r="B59" s="8"/>
      <c r="C59" s="8"/>
      <c r="D59" s="11" t="s">
        <v>137</v>
      </c>
      <c r="E59" s="14"/>
      <c r="F59" s="21"/>
      <c r="G59" s="212"/>
      <c r="H59" s="213"/>
    </row>
    <row r="60" spans="1:10" s="48" customFormat="1" ht="50.25" customHeight="1">
      <c r="A60" s="44" t="s">
        <v>17</v>
      </c>
      <c r="B60" s="50" t="s">
        <v>336</v>
      </c>
      <c r="C60" s="45" t="s">
        <v>124</v>
      </c>
      <c r="D60" s="52" t="s">
        <v>125</v>
      </c>
      <c r="E60" s="45" t="s">
        <v>41</v>
      </c>
      <c r="F60" s="43">
        <f>((6.8+7.33+2.8+2.8+2.1+2.1+1.5+4.76)*0.2*0.2)</f>
        <v>1.2076000000000002</v>
      </c>
      <c r="G60" s="224" t="s">
        <v>519</v>
      </c>
      <c r="H60" s="225"/>
    </row>
    <row r="61" spans="1:10" s="48" customFormat="1" ht="43.5" customHeight="1">
      <c r="A61" s="44" t="s">
        <v>18</v>
      </c>
      <c r="B61" s="50" t="s">
        <v>336</v>
      </c>
      <c r="C61" s="45" t="s">
        <v>126</v>
      </c>
      <c r="D61" s="52" t="s">
        <v>127</v>
      </c>
      <c r="E61" s="45" t="s">
        <v>40</v>
      </c>
      <c r="F61" s="43">
        <f>((6.8+7.33+2.8+2.8+2.1+2.1+1.5+4.76)*2.53)</f>
        <v>76.380700000000004</v>
      </c>
      <c r="G61" s="224" t="s">
        <v>662</v>
      </c>
      <c r="H61" s="225"/>
    </row>
    <row r="62" spans="1:10" s="48" customFormat="1" ht="49.5" customHeight="1">
      <c r="A62" s="44" t="s">
        <v>19</v>
      </c>
      <c r="B62" s="50" t="s">
        <v>336</v>
      </c>
      <c r="C62" s="45" t="s">
        <v>314</v>
      </c>
      <c r="D62" s="52" t="s">
        <v>316</v>
      </c>
      <c r="E62" s="45" t="s">
        <v>40</v>
      </c>
      <c r="F62" s="43">
        <f>(2+2+1.2+1.2)*0.4</f>
        <v>2.5600000000000005</v>
      </c>
      <c r="G62" s="224" t="s">
        <v>670</v>
      </c>
      <c r="H62" s="225"/>
    </row>
    <row r="63" spans="1:10" s="48" customFormat="1" ht="30.75" customHeight="1">
      <c r="A63" s="44" t="s">
        <v>315</v>
      </c>
      <c r="B63" s="50" t="s">
        <v>336</v>
      </c>
      <c r="C63" s="45" t="s">
        <v>138</v>
      </c>
      <c r="D63" s="52" t="s">
        <v>139</v>
      </c>
      <c r="E63" s="45" t="s">
        <v>40</v>
      </c>
      <c r="F63" s="43">
        <f>ROUND((2.59*4)+(0.5*6*2)+(0.45*1.2*3),2)</f>
        <v>17.98</v>
      </c>
      <c r="G63" s="224" t="s">
        <v>688</v>
      </c>
      <c r="H63" s="225"/>
    </row>
    <row r="64" spans="1:10" s="48" customFormat="1" ht="32.25" customHeight="1">
      <c r="A64" s="44" t="s">
        <v>318</v>
      </c>
      <c r="B64" s="50" t="s">
        <v>336</v>
      </c>
      <c r="C64" s="45" t="s">
        <v>317</v>
      </c>
      <c r="D64" s="52" t="s">
        <v>319</v>
      </c>
      <c r="E64" s="45" t="s">
        <v>41</v>
      </c>
      <c r="F64" s="43">
        <f>(2.8+0.18+2.58+7.33+(1.42*2)+2.1+1.475)*0.14*0.2</f>
        <v>0.54054000000000013</v>
      </c>
      <c r="G64" s="224" t="s">
        <v>520</v>
      </c>
      <c r="H64" s="225"/>
    </row>
    <row r="65" spans="1:9" s="48" customFormat="1">
      <c r="A65" s="44"/>
      <c r="B65" s="50"/>
      <c r="C65" s="45"/>
      <c r="D65" s="139"/>
      <c r="E65" s="45"/>
      <c r="F65" s="43"/>
      <c r="G65" s="222"/>
      <c r="H65" s="223"/>
    </row>
    <row r="66" spans="1:9">
      <c r="A66" s="11">
        <v>6</v>
      </c>
      <c r="B66" s="8"/>
      <c r="C66" s="8"/>
      <c r="D66" s="11" t="s">
        <v>16</v>
      </c>
      <c r="E66" s="14"/>
      <c r="F66" s="21"/>
      <c r="G66" s="212"/>
      <c r="H66" s="213"/>
      <c r="I66" s="24"/>
    </row>
    <row r="67" spans="1:9" s="48" customFormat="1" ht="30.75" customHeight="1">
      <c r="A67" s="44" t="s">
        <v>20</v>
      </c>
      <c r="B67" s="50" t="s">
        <v>336</v>
      </c>
      <c r="C67" s="45" t="s">
        <v>262</v>
      </c>
      <c r="D67" s="52" t="s">
        <v>263</v>
      </c>
      <c r="E67" s="45" t="s">
        <v>40</v>
      </c>
      <c r="F67" s="43">
        <f>(64.51*1.077)</f>
        <v>69.477270000000004</v>
      </c>
      <c r="G67" s="224" t="s">
        <v>521</v>
      </c>
      <c r="H67" s="225"/>
    </row>
    <row r="68" spans="1:9" s="48" customFormat="1" ht="29.25" customHeight="1">
      <c r="A68" s="44" t="s">
        <v>21</v>
      </c>
      <c r="B68" s="50" t="s">
        <v>336</v>
      </c>
      <c r="C68" s="45" t="s">
        <v>264</v>
      </c>
      <c r="D68" s="56" t="s">
        <v>265</v>
      </c>
      <c r="E68" s="45" t="s">
        <v>40</v>
      </c>
      <c r="F68" s="43">
        <f>(64.51*1.077)</f>
        <v>69.477270000000004</v>
      </c>
      <c r="G68" s="224" t="s">
        <v>522</v>
      </c>
      <c r="H68" s="225"/>
    </row>
    <row r="69" spans="1:9" s="48" customFormat="1">
      <c r="A69" s="44" t="s">
        <v>247</v>
      </c>
      <c r="B69" s="50" t="s">
        <v>336</v>
      </c>
      <c r="C69" s="45" t="s">
        <v>266</v>
      </c>
      <c r="D69" s="46" t="s">
        <v>267</v>
      </c>
      <c r="E69" s="45" t="s">
        <v>43</v>
      </c>
      <c r="F69" s="43">
        <f>7.9</f>
        <v>7.9</v>
      </c>
      <c r="G69" s="222" t="s">
        <v>451</v>
      </c>
      <c r="H69" s="223"/>
    </row>
    <row r="70" spans="1:9" s="48" customFormat="1">
      <c r="A70" s="44" t="s">
        <v>248</v>
      </c>
      <c r="B70" s="50" t="s">
        <v>336</v>
      </c>
      <c r="C70" s="45" t="s">
        <v>487</v>
      </c>
      <c r="D70" s="46" t="s">
        <v>488</v>
      </c>
      <c r="E70" s="45" t="s">
        <v>43</v>
      </c>
      <c r="F70" s="43">
        <f>ROUND((8.1*1.077),2)</f>
        <v>8.7200000000000006</v>
      </c>
      <c r="G70" s="222" t="s">
        <v>523</v>
      </c>
      <c r="H70" s="223"/>
    </row>
    <row r="71" spans="1:9" s="48" customFormat="1">
      <c r="A71" s="44" t="s">
        <v>261</v>
      </c>
      <c r="B71" s="50" t="s">
        <v>336</v>
      </c>
      <c r="C71" s="45" t="s">
        <v>129</v>
      </c>
      <c r="D71" s="46" t="s">
        <v>130</v>
      </c>
      <c r="E71" s="45" t="s">
        <v>43</v>
      </c>
      <c r="F71" s="43">
        <f>ROUND(F31+(8.72*4),2)</f>
        <v>48.8</v>
      </c>
      <c r="G71" s="222" t="s">
        <v>524</v>
      </c>
      <c r="H71" s="223"/>
    </row>
    <row r="72" spans="1:9" s="48" customFormat="1" ht="30" customHeight="1">
      <c r="A72" s="44" t="s">
        <v>301</v>
      </c>
      <c r="B72" s="50" t="s">
        <v>336</v>
      </c>
      <c r="C72" s="45" t="s">
        <v>300</v>
      </c>
      <c r="D72" s="46" t="s">
        <v>302</v>
      </c>
      <c r="E72" s="45" t="s">
        <v>40</v>
      </c>
      <c r="F72" s="43">
        <f>(5.26*4.28)</f>
        <v>22.512800000000002</v>
      </c>
      <c r="G72" s="224" t="s">
        <v>525</v>
      </c>
      <c r="H72" s="225"/>
    </row>
    <row r="73" spans="1:9" s="48" customFormat="1">
      <c r="A73" s="44" t="s">
        <v>304</v>
      </c>
      <c r="B73" s="50" t="s">
        <v>336</v>
      </c>
      <c r="C73" s="45" t="s">
        <v>303</v>
      </c>
      <c r="D73" s="46" t="s">
        <v>305</v>
      </c>
      <c r="E73" s="45" t="s">
        <v>43</v>
      </c>
      <c r="F73" s="43">
        <f>ROUND((5.26),2)</f>
        <v>5.26</v>
      </c>
      <c r="G73" s="222" t="s">
        <v>526</v>
      </c>
      <c r="H73" s="223"/>
    </row>
    <row r="74" spans="1:9" s="48" customFormat="1">
      <c r="A74" s="44"/>
      <c r="B74" s="45"/>
      <c r="C74" s="45"/>
      <c r="D74" s="134"/>
      <c r="E74" s="45"/>
      <c r="F74" s="43"/>
      <c r="G74" s="222"/>
      <c r="H74" s="223"/>
    </row>
    <row r="75" spans="1:9">
      <c r="A75" s="11">
        <v>7</v>
      </c>
      <c r="B75" s="8"/>
      <c r="C75" s="14"/>
      <c r="D75" s="11" t="s">
        <v>66</v>
      </c>
      <c r="E75" s="14"/>
      <c r="F75" s="14"/>
      <c r="G75" s="212"/>
      <c r="H75" s="213"/>
      <c r="I75" s="24"/>
    </row>
    <row r="76" spans="1:9" ht="43.5" customHeight="1">
      <c r="A76" s="13" t="s">
        <v>22</v>
      </c>
      <c r="B76" s="50" t="s">
        <v>336</v>
      </c>
      <c r="C76" s="7" t="s">
        <v>133</v>
      </c>
      <c r="D76" s="40" t="s">
        <v>505</v>
      </c>
      <c r="E76" s="7" t="s">
        <v>40</v>
      </c>
      <c r="F76" s="20">
        <f>ROUND((5.95+5.96+6.59+3.15+3.13+11.14),2)</f>
        <v>35.92</v>
      </c>
      <c r="G76" s="220" t="s">
        <v>527</v>
      </c>
      <c r="H76" s="221"/>
    </row>
    <row r="77" spans="1:9" ht="30" customHeight="1">
      <c r="A77" s="13" t="s">
        <v>23</v>
      </c>
      <c r="B77" s="50" t="s">
        <v>336</v>
      </c>
      <c r="C77" s="7" t="s">
        <v>506</v>
      </c>
      <c r="D77" s="40" t="s">
        <v>507</v>
      </c>
      <c r="E77" s="7" t="s">
        <v>40</v>
      </c>
      <c r="F77" s="20">
        <f>ROUND((14.89+13.55)+(48.49*1.077),2)</f>
        <v>80.66</v>
      </c>
      <c r="G77" s="220" t="s">
        <v>705</v>
      </c>
      <c r="H77" s="221"/>
    </row>
    <row r="78" spans="1:9" s="48" customFormat="1">
      <c r="A78" s="44"/>
      <c r="B78" s="45"/>
      <c r="C78" s="45"/>
      <c r="D78" s="134"/>
      <c r="E78" s="45"/>
      <c r="F78" s="43"/>
      <c r="G78" s="222"/>
      <c r="H78" s="223"/>
    </row>
    <row r="79" spans="1:9">
      <c r="A79" s="11">
        <v>8</v>
      </c>
      <c r="B79" s="8"/>
      <c r="C79" s="14"/>
      <c r="D79" s="11" t="s">
        <v>67</v>
      </c>
      <c r="E79" s="14"/>
      <c r="F79" s="14"/>
      <c r="G79" s="212"/>
      <c r="H79" s="213"/>
      <c r="I79" s="24"/>
    </row>
    <row r="80" spans="1:9" s="48" customFormat="1" ht="79.5" customHeight="1">
      <c r="A80" s="44" t="s">
        <v>24</v>
      </c>
      <c r="B80" s="50" t="s">
        <v>336</v>
      </c>
      <c r="C80" s="45" t="s">
        <v>134</v>
      </c>
      <c r="D80" s="44" t="s">
        <v>135</v>
      </c>
      <c r="E80" s="45" t="s">
        <v>40</v>
      </c>
      <c r="F80" s="43">
        <f>ROUND(F82+F81,2)</f>
        <v>497.71</v>
      </c>
      <c r="G80" s="224" t="s">
        <v>528</v>
      </c>
      <c r="H80" s="225"/>
    </row>
    <row r="81" spans="1:9" s="48" customFormat="1" ht="65.25" customHeight="1">
      <c r="A81" s="44" t="s">
        <v>36</v>
      </c>
      <c r="B81" s="50" t="s">
        <v>336</v>
      </c>
      <c r="C81" s="45" t="s">
        <v>323</v>
      </c>
      <c r="D81" s="52" t="s">
        <v>509</v>
      </c>
      <c r="E81" s="45" t="s">
        <v>40</v>
      </c>
      <c r="F81" s="43">
        <f>((2.96+6.78+7.33+2.57+1.68+12.88)*2.78)+(20.68)+((1.31+40)*4.19)</f>
        <v>288.84490000000005</v>
      </c>
      <c r="G81" s="224" t="s">
        <v>529</v>
      </c>
      <c r="H81" s="225"/>
    </row>
    <row r="82" spans="1:9" s="48" customFormat="1" ht="44.25" customHeight="1">
      <c r="A82" s="44" t="s">
        <v>37</v>
      </c>
      <c r="B82" s="50" t="s">
        <v>336</v>
      </c>
      <c r="C82" s="45" t="s">
        <v>136</v>
      </c>
      <c r="D82" s="52" t="s">
        <v>508</v>
      </c>
      <c r="E82" s="45" t="s">
        <v>40</v>
      </c>
      <c r="F82" s="43">
        <f>(11.86+16.03+9.74+9.79+7.2+7.17+13.34)*2.78</f>
        <v>208.8614</v>
      </c>
      <c r="G82" s="224" t="s">
        <v>547</v>
      </c>
      <c r="H82" s="225"/>
    </row>
    <row r="83" spans="1:9" s="48" customFormat="1" ht="57.75" customHeight="1">
      <c r="A83" s="44" t="s">
        <v>38</v>
      </c>
      <c r="B83" s="50" t="s">
        <v>336</v>
      </c>
      <c r="C83" s="67" t="s">
        <v>465</v>
      </c>
      <c r="D83" s="52" t="s">
        <v>464</v>
      </c>
      <c r="E83" s="45" t="s">
        <v>40</v>
      </c>
      <c r="F83" s="43">
        <f>133.71</f>
        <v>133.71</v>
      </c>
      <c r="G83" s="224" t="s">
        <v>663</v>
      </c>
      <c r="H83" s="225"/>
    </row>
    <row r="84" spans="1:9" s="48" customFormat="1" ht="45" customHeight="1">
      <c r="A84" s="44" t="s">
        <v>39</v>
      </c>
      <c r="B84" s="50" t="s">
        <v>336</v>
      </c>
      <c r="C84" s="67" t="s">
        <v>467</v>
      </c>
      <c r="D84" s="52" t="s">
        <v>466</v>
      </c>
      <c r="E84" s="45" t="s">
        <v>43</v>
      </c>
      <c r="F84" s="68">
        <v>90.54</v>
      </c>
      <c r="G84" s="224" t="s">
        <v>603</v>
      </c>
      <c r="H84" s="225"/>
    </row>
    <row r="85" spans="1:9" s="69" customFormat="1" ht="45" customHeight="1">
      <c r="A85" s="52" t="s">
        <v>296</v>
      </c>
      <c r="B85" s="66" t="s">
        <v>336</v>
      </c>
      <c r="C85" s="45" t="s">
        <v>438</v>
      </c>
      <c r="D85" s="131" t="s">
        <v>452</v>
      </c>
      <c r="E85" s="45" t="s">
        <v>40</v>
      </c>
      <c r="F85" s="43">
        <f>75.2*2</f>
        <v>150.4</v>
      </c>
      <c r="G85" s="224" t="s">
        <v>453</v>
      </c>
      <c r="H85" s="225"/>
    </row>
    <row r="86" spans="1:9" s="48" customFormat="1" ht="29.25" customHeight="1">
      <c r="A86" s="44" t="s">
        <v>324</v>
      </c>
      <c r="B86" s="50" t="s">
        <v>336</v>
      </c>
      <c r="C86" s="45" t="s">
        <v>341</v>
      </c>
      <c r="D86" s="52" t="s">
        <v>140</v>
      </c>
      <c r="E86" s="45" t="s">
        <v>43</v>
      </c>
      <c r="F86" s="43">
        <f>ROUND(0.9*4,2)</f>
        <v>3.6</v>
      </c>
      <c r="G86" s="224" t="s">
        <v>454</v>
      </c>
      <c r="H86" s="225"/>
    </row>
    <row r="87" spans="1:9" s="48" customFormat="1">
      <c r="A87" s="44"/>
      <c r="B87" s="45"/>
      <c r="C87" s="45"/>
      <c r="D87" s="140"/>
      <c r="E87" s="45"/>
      <c r="F87" s="43"/>
      <c r="G87" s="222"/>
      <c r="H87" s="223"/>
    </row>
    <row r="88" spans="1:9">
      <c r="A88" s="11">
        <v>9</v>
      </c>
      <c r="B88" s="14"/>
      <c r="C88" s="14"/>
      <c r="D88" s="11" t="s">
        <v>68</v>
      </c>
      <c r="E88" s="14"/>
      <c r="F88" s="14"/>
      <c r="G88" s="212"/>
      <c r="H88" s="213"/>
      <c r="I88" s="24"/>
    </row>
    <row r="89" spans="1:9" s="48" customFormat="1" ht="30.75" customHeight="1">
      <c r="A89" s="44" t="s">
        <v>25</v>
      </c>
      <c r="B89" s="50" t="s">
        <v>336</v>
      </c>
      <c r="C89" s="45" t="s">
        <v>511</v>
      </c>
      <c r="D89" s="52" t="s">
        <v>510</v>
      </c>
      <c r="E89" s="45" t="s">
        <v>40</v>
      </c>
      <c r="F89" s="43">
        <f>ROUND((30.19*0.8*0.02),2)</f>
        <v>0.48</v>
      </c>
      <c r="G89" s="224" t="s">
        <v>548</v>
      </c>
      <c r="H89" s="225"/>
    </row>
    <row r="90" spans="1:9" s="48" customFormat="1" ht="48.75" customHeight="1">
      <c r="A90" s="44" t="s">
        <v>325</v>
      </c>
      <c r="B90" s="50" t="s">
        <v>336</v>
      </c>
      <c r="C90" s="45" t="s">
        <v>343</v>
      </c>
      <c r="D90" s="52" t="s">
        <v>342</v>
      </c>
      <c r="E90" s="45" t="s">
        <v>40</v>
      </c>
      <c r="F90" s="43">
        <f>30.19*0.8</f>
        <v>24.152000000000001</v>
      </c>
      <c r="G90" s="224" t="s">
        <v>549</v>
      </c>
      <c r="H90" s="225"/>
    </row>
    <row r="91" spans="1:9" s="48" customFormat="1">
      <c r="A91" s="44"/>
      <c r="B91" s="45"/>
      <c r="C91" s="45"/>
      <c r="D91" s="141"/>
      <c r="E91" s="45"/>
      <c r="F91" s="43"/>
      <c r="G91" s="228"/>
      <c r="H91" s="229"/>
    </row>
    <row r="92" spans="1:9">
      <c r="A92" s="11">
        <v>10</v>
      </c>
      <c r="B92" s="14"/>
      <c r="C92" s="14"/>
      <c r="D92" s="11" t="s">
        <v>72</v>
      </c>
      <c r="E92" s="14"/>
      <c r="F92" s="14"/>
      <c r="G92" s="212"/>
      <c r="H92" s="213"/>
      <c r="I92" s="24"/>
    </row>
    <row r="93" spans="1:9" s="48" customFormat="1" ht="15" customHeight="1">
      <c r="A93" s="44" t="s">
        <v>654</v>
      </c>
      <c r="B93" s="50" t="s">
        <v>336</v>
      </c>
      <c r="C93" s="45" t="s">
        <v>281</v>
      </c>
      <c r="D93" s="52" t="s">
        <v>512</v>
      </c>
      <c r="E93" s="45" t="s">
        <v>40</v>
      </c>
      <c r="F93" s="43">
        <f>3.84+1.6+1.2</f>
        <v>6.64</v>
      </c>
      <c r="G93" s="224" t="s">
        <v>550</v>
      </c>
      <c r="H93" s="225"/>
    </row>
    <row r="94" spans="1:9" s="48" customFormat="1" ht="30.75" customHeight="1">
      <c r="A94" s="44" t="s">
        <v>26</v>
      </c>
      <c r="B94" s="50" t="s">
        <v>336</v>
      </c>
      <c r="C94" s="45" t="s">
        <v>282</v>
      </c>
      <c r="D94" s="52" t="s">
        <v>513</v>
      </c>
      <c r="E94" s="45" t="s">
        <v>40</v>
      </c>
      <c r="F94" s="43">
        <f>3.84+1.2+1.6+7.38+(1.2*2)</f>
        <v>16.419999999999998</v>
      </c>
      <c r="G94" s="224" t="s">
        <v>551</v>
      </c>
      <c r="H94" s="225"/>
    </row>
    <row r="95" spans="1:9" s="48" customFormat="1" ht="43.5">
      <c r="A95" s="44" t="s">
        <v>69</v>
      </c>
      <c r="B95" s="50" t="s">
        <v>336</v>
      </c>
      <c r="C95" s="45" t="s">
        <v>159</v>
      </c>
      <c r="D95" s="52" t="s">
        <v>160</v>
      </c>
      <c r="E95" s="45" t="s">
        <v>161</v>
      </c>
      <c r="F95" s="43">
        <v>2</v>
      </c>
      <c r="G95" s="214" t="s">
        <v>365</v>
      </c>
      <c r="H95" s="215"/>
    </row>
    <row r="96" spans="1:9" s="48" customFormat="1" ht="29.25">
      <c r="A96" s="44" t="s">
        <v>70</v>
      </c>
      <c r="B96" s="50" t="s">
        <v>336</v>
      </c>
      <c r="C96" s="45" t="s">
        <v>328</v>
      </c>
      <c r="D96" s="52" t="s">
        <v>329</v>
      </c>
      <c r="E96" s="45" t="s">
        <v>161</v>
      </c>
      <c r="F96" s="43">
        <v>2</v>
      </c>
      <c r="G96" s="222" t="s">
        <v>423</v>
      </c>
      <c r="H96" s="223"/>
    </row>
    <row r="97" spans="1:9" s="48" customFormat="1" ht="29.25">
      <c r="A97" s="44" t="s">
        <v>71</v>
      </c>
      <c r="B97" s="50" t="s">
        <v>336</v>
      </c>
      <c r="C97" s="45" t="s">
        <v>162</v>
      </c>
      <c r="D97" s="52" t="s">
        <v>163</v>
      </c>
      <c r="E97" s="45" t="s">
        <v>161</v>
      </c>
      <c r="F97" s="43">
        <v>6</v>
      </c>
      <c r="G97" s="214" t="s">
        <v>361</v>
      </c>
      <c r="H97" s="215"/>
    </row>
    <row r="98" spans="1:9" s="48" customFormat="1" ht="39" customHeight="1">
      <c r="A98" s="44" t="s">
        <v>307</v>
      </c>
      <c r="B98" s="50" t="s">
        <v>336</v>
      </c>
      <c r="C98" s="45" t="s">
        <v>306</v>
      </c>
      <c r="D98" s="52" t="s">
        <v>514</v>
      </c>
      <c r="E98" s="45" t="s">
        <v>40</v>
      </c>
      <c r="F98" s="43">
        <f>1.2*3</f>
        <v>3.5999999999999996</v>
      </c>
      <c r="G98" s="224" t="s">
        <v>552</v>
      </c>
      <c r="H98" s="225"/>
    </row>
    <row r="99" spans="1:9" s="48" customFormat="1">
      <c r="A99" s="44" t="s">
        <v>312</v>
      </c>
      <c r="B99" s="50" t="s">
        <v>336</v>
      </c>
      <c r="C99" s="45" t="s">
        <v>311</v>
      </c>
      <c r="D99" s="52" t="s">
        <v>515</v>
      </c>
      <c r="E99" s="45" t="s">
        <v>161</v>
      </c>
      <c r="F99" s="43">
        <v>4</v>
      </c>
      <c r="G99" s="222" t="s">
        <v>553</v>
      </c>
      <c r="H99" s="223"/>
    </row>
    <row r="100" spans="1:9" s="48" customFormat="1">
      <c r="A100" s="44"/>
      <c r="B100" s="45"/>
      <c r="C100" s="45"/>
      <c r="D100" s="139"/>
      <c r="E100" s="45"/>
      <c r="F100" s="142"/>
      <c r="G100" s="222"/>
      <c r="H100" s="223"/>
    </row>
    <row r="101" spans="1:9">
      <c r="A101" s="11">
        <v>11</v>
      </c>
      <c r="B101" s="14"/>
      <c r="C101" s="14"/>
      <c r="D101" s="11" t="s">
        <v>33</v>
      </c>
      <c r="E101" s="14"/>
      <c r="F101" s="14"/>
      <c r="G101" s="212"/>
      <c r="H101" s="213"/>
    </row>
    <row r="102" spans="1:9" s="48" customFormat="1" ht="45.75" customHeight="1">
      <c r="A102" s="44" t="s">
        <v>27</v>
      </c>
      <c r="B102" s="50" t="s">
        <v>336</v>
      </c>
      <c r="C102" s="45" t="s">
        <v>174</v>
      </c>
      <c r="D102" s="52" t="s">
        <v>516</v>
      </c>
      <c r="E102" s="45" t="s">
        <v>40</v>
      </c>
      <c r="F102" s="43">
        <f>(((14.71+14.71+7.28)*4.19)+(((7.28*2)*2.36)/2)+((7.33+7.33+6.8)*2.78))</f>
        <v>230.61260000000004</v>
      </c>
      <c r="G102" s="224" t="s">
        <v>689</v>
      </c>
      <c r="H102" s="225"/>
    </row>
    <row r="103" spans="1:9" s="48" customFormat="1">
      <c r="A103" s="44" t="s">
        <v>28</v>
      </c>
      <c r="B103" s="50" t="s">
        <v>336</v>
      </c>
      <c r="C103" s="45" t="s">
        <v>276</v>
      </c>
      <c r="D103" s="52" t="s">
        <v>277</v>
      </c>
      <c r="E103" s="45" t="s">
        <v>43</v>
      </c>
      <c r="F103" s="43">
        <v>25.16</v>
      </c>
      <c r="G103" s="222" t="s">
        <v>424</v>
      </c>
      <c r="H103" s="223"/>
    </row>
    <row r="104" spans="1:9" s="48" customFormat="1" ht="51.75" customHeight="1">
      <c r="A104" s="44" t="s">
        <v>49</v>
      </c>
      <c r="B104" s="50" t="s">
        <v>336</v>
      </c>
      <c r="C104" s="45" t="s">
        <v>285</v>
      </c>
      <c r="D104" s="52" t="s">
        <v>517</v>
      </c>
      <c r="E104" s="45" t="s">
        <v>40</v>
      </c>
      <c r="F104" s="43">
        <f>ROUND(F81+(60.97+263.18+31.72),2)</f>
        <v>644.71</v>
      </c>
      <c r="G104" s="224" t="s">
        <v>554</v>
      </c>
      <c r="H104" s="225"/>
    </row>
    <row r="105" spans="1:9" s="48" customFormat="1" ht="70.5" customHeight="1">
      <c r="A105" s="44" t="s">
        <v>50</v>
      </c>
      <c r="B105" s="50" t="s">
        <v>336</v>
      </c>
      <c r="C105" s="45" t="s">
        <v>286</v>
      </c>
      <c r="D105" s="52" t="s">
        <v>530</v>
      </c>
      <c r="E105" s="45" t="s">
        <v>40</v>
      </c>
      <c r="F105" s="43">
        <f>((0.9*2.1)*7*2)+((1.2*3)*2)+F77+(F70*0.2)</f>
        <v>116.06399999999999</v>
      </c>
      <c r="G105" s="226" t="s">
        <v>555</v>
      </c>
      <c r="H105" s="227"/>
    </row>
    <row r="106" spans="1:9" s="48" customFormat="1" ht="46.5" customHeight="1">
      <c r="A106" s="44" t="s">
        <v>176</v>
      </c>
      <c r="B106" s="50" t="s">
        <v>336</v>
      </c>
      <c r="C106" s="45" t="s">
        <v>175</v>
      </c>
      <c r="D106" s="52" t="s">
        <v>679</v>
      </c>
      <c r="E106" s="45" t="s">
        <v>40</v>
      </c>
      <c r="F106" s="43">
        <f>3.84+1.2+1.6+7.38+3.6+1.98+1.45+0.38+1.9</f>
        <v>23.33</v>
      </c>
      <c r="G106" s="224" t="s">
        <v>604</v>
      </c>
      <c r="H106" s="225"/>
    </row>
    <row r="107" spans="1:9" s="48" customFormat="1">
      <c r="A107" s="44"/>
      <c r="B107" s="45"/>
      <c r="C107" s="45"/>
      <c r="D107" s="139"/>
      <c r="E107" s="45"/>
      <c r="F107" s="142"/>
      <c r="G107" s="222"/>
      <c r="H107" s="223"/>
    </row>
    <row r="108" spans="1:9">
      <c r="A108" s="11">
        <v>12</v>
      </c>
      <c r="B108" s="14"/>
      <c r="C108" s="14"/>
      <c r="D108" s="11" t="s">
        <v>76</v>
      </c>
      <c r="E108" s="14"/>
      <c r="F108" s="14"/>
      <c r="G108" s="70"/>
      <c r="H108" s="71"/>
      <c r="I108" s="24"/>
    </row>
    <row r="109" spans="1:9" s="48" customFormat="1" ht="29.25">
      <c r="A109" s="44" t="s">
        <v>29</v>
      </c>
      <c r="B109" s="50" t="s">
        <v>336</v>
      </c>
      <c r="C109" s="45" t="s">
        <v>183</v>
      </c>
      <c r="D109" s="52" t="s">
        <v>184</v>
      </c>
      <c r="E109" s="45" t="s">
        <v>40</v>
      </c>
      <c r="F109" s="43">
        <f>0.67+0.39+0.6+4.89+0.67-1.02</f>
        <v>6.1999999999999993</v>
      </c>
      <c r="G109" s="224" t="s">
        <v>706</v>
      </c>
      <c r="H109" s="225"/>
    </row>
    <row r="110" spans="1:9" s="48" customFormat="1" ht="36.75" customHeight="1">
      <c r="A110" s="44" t="s">
        <v>287</v>
      </c>
      <c r="B110" s="50" t="s">
        <v>336</v>
      </c>
      <c r="C110" s="45" t="s">
        <v>185</v>
      </c>
      <c r="D110" s="46" t="s">
        <v>186</v>
      </c>
      <c r="E110" s="45" t="s">
        <v>161</v>
      </c>
      <c r="F110" s="43">
        <v>2</v>
      </c>
      <c r="G110" s="222" t="s">
        <v>428</v>
      </c>
      <c r="H110" s="223"/>
    </row>
    <row r="111" spans="1:9" s="48" customFormat="1" ht="29.25">
      <c r="A111" s="44" t="s">
        <v>288</v>
      </c>
      <c r="B111" s="50" t="s">
        <v>336</v>
      </c>
      <c r="C111" s="45" t="s">
        <v>238</v>
      </c>
      <c r="D111" s="46" t="s">
        <v>239</v>
      </c>
      <c r="E111" s="45" t="s">
        <v>161</v>
      </c>
      <c r="F111" s="43">
        <v>3</v>
      </c>
      <c r="G111" s="222" t="s">
        <v>425</v>
      </c>
      <c r="H111" s="223"/>
    </row>
    <row r="112" spans="1:9" s="48" customFormat="1" ht="29.25">
      <c r="A112" s="44" t="s">
        <v>289</v>
      </c>
      <c r="B112" s="50" t="s">
        <v>336</v>
      </c>
      <c r="C112" s="45" t="s">
        <v>240</v>
      </c>
      <c r="D112" s="46" t="s">
        <v>241</v>
      </c>
      <c r="E112" s="45" t="s">
        <v>161</v>
      </c>
      <c r="F112" s="43">
        <v>4</v>
      </c>
      <c r="G112" s="222" t="s">
        <v>426</v>
      </c>
      <c r="H112" s="223"/>
    </row>
    <row r="113" spans="1:9" s="48" customFormat="1">
      <c r="A113" s="44" t="s">
        <v>290</v>
      </c>
      <c r="B113" s="50" t="s">
        <v>336</v>
      </c>
      <c r="C113" s="45" t="s">
        <v>242</v>
      </c>
      <c r="D113" s="46" t="s">
        <v>243</v>
      </c>
      <c r="E113" s="45" t="s">
        <v>161</v>
      </c>
      <c r="F113" s="43">
        <v>2</v>
      </c>
      <c r="G113" s="222" t="s">
        <v>427</v>
      </c>
      <c r="H113" s="223"/>
    </row>
    <row r="114" spans="1:9" s="48" customFormat="1" ht="29.25">
      <c r="A114" s="44" t="s">
        <v>677</v>
      </c>
      <c r="B114" s="50" t="s">
        <v>336</v>
      </c>
      <c r="C114" s="45" t="s">
        <v>676</v>
      </c>
      <c r="D114" s="46" t="s">
        <v>675</v>
      </c>
      <c r="E114" s="45" t="s">
        <v>40</v>
      </c>
      <c r="F114" s="43">
        <f>32*0.1</f>
        <v>3.2</v>
      </c>
      <c r="G114" s="222" t="s">
        <v>678</v>
      </c>
      <c r="H114" s="223"/>
    </row>
    <row r="115" spans="1:9" s="48" customFormat="1">
      <c r="A115" s="44"/>
      <c r="B115" s="45"/>
      <c r="C115" s="45"/>
      <c r="D115" s="139"/>
      <c r="E115" s="45"/>
      <c r="F115" s="43"/>
      <c r="G115" s="222"/>
      <c r="H115" s="223"/>
    </row>
    <row r="116" spans="1:9">
      <c r="A116" s="11">
        <v>13</v>
      </c>
      <c r="B116" s="14"/>
      <c r="C116" s="14"/>
      <c r="D116" s="8" t="s">
        <v>268</v>
      </c>
      <c r="E116" s="14"/>
      <c r="F116" s="14"/>
      <c r="G116" s="212"/>
      <c r="H116" s="213"/>
      <c r="I116" s="24"/>
    </row>
    <row r="117" spans="1:9" s="48" customFormat="1" ht="33" customHeight="1">
      <c r="A117" s="44" t="s">
        <v>73</v>
      </c>
      <c r="B117" s="50" t="s">
        <v>336</v>
      </c>
      <c r="C117" s="45" t="s">
        <v>187</v>
      </c>
      <c r="D117" s="55" t="s">
        <v>188</v>
      </c>
      <c r="E117" s="45" t="s">
        <v>161</v>
      </c>
      <c r="F117" s="43">
        <v>10</v>
      </c>
      <c r="G117" s="224" t="s">
        <v>556</v>
      </c>
      <c r="H117" s="225"/>
    </row>
    <row r="118" spans="1:9" s="48" customFormat="1" ht="96.75" customHeight="1">
      <c r="A118" s="44" t="s">
        <v>74</v>
      </c>
      <c r="B118" s="50" t="s">
        <v>336</v>
      </c>
      <c r="C118" s="45" t="s">
        <v>189</v>
      </c>
      <c r="D118" s="49" t="s">
        <v>190</v>
      </c>
      <c r="E118" s="45" t="s">
        <v>43</v>
      </c>
      <c r="F118" s="43">
        <f>(2.2+1.16+3.4+2.41+2.28+0.65+0.91+2.2+0.87+1.6+1.18+3.06+1.15+4.15+1.55+1+2.46+1.4+3.65+1.6+1.41+0.75+1.68+2.25+1.71+2.12+1.79+5.56+(2.48*15)+7.35)</f>
        <v>100.69999999999999</v>
      </c>
      <c r="G118" s="224" t="s">
        <v>680</v>
      </c>
      <c r="H118" s="225"/>
    </row>
    <row r="119" spans="1:9" s="48" customFormat="1">
      <c r="A119" s="44" t="s">
        <v>177</v>
      </c>
      <c r="B119" s="50" t="s">
        <v>336</v>
      </c>
      <c r="C119" s="45" t="s">
        <v>191</v>
      </c>
      <c r="D119" s="49" t="s">
        <v>192</v>
      </c>
      <c r="E119" s="45" t="s">
        <v>161</v>
      </c>
      <c r="F119" s="43">
        <v>16</v>
      </c>
      <c r="G119" s="222" t="s">
        <v>433</v>
      </c>
      <c r="H119" s="223"/>
    </row>
    <row r="120" spans="1:9" s="48" customFormat="1" ht="29.25">
      <c r="A120" s="44" t="s">
        <v>178</v>
      </c>
      <c r="B120" s="50" t="s">
        <v>336</v>
      </c>
      <c r="C120" s="45" t="s">
        <v>473</v>
      </c>
      <c r="D120" s="49" t="s">
        <v>472</v>
      </c>
      <c r="E120" s="45" t="s">
        <v>43</v>
      </c>
      <c r="F120" s="43">
        <f>F118*1</f>
        <v>100.69999999999999</v>
      </c>
      <c r="G120" s="224" t="s">
        <v>557</v>
      </c>
      <c r="H120" s="225"/>
    </row>
    <row r="121" spans="1:9" s="48" customFormat="1" ht="29.25">
      <c r="A121" s="44" t="s">
        <v>179</v>
      </c>
      <c r="B121" s="50" t="s">
        <v>336</v>
      </c>
      <c r="C121" s="45" t="s">
        <v>193</v>
      </c>
      <c r="D121" s="49" t="s">
        <v>194</v>
      </c>
      <c r="E121" s="45" t="s">
        <v>43</v>
      </c>
      <c r="F121" s="43">
        <f>F118*3</f>
        <v>302.09999999999997</v>
      </c>
      <c r="G121" s="224" t="s">
        <v>558</v>
      </c>
      <c r="H121" s="225"/>
    </row>
    <row r="122" spans="1:9" s="48" customFormat="1" ht="29.25">
      <c r="A122" s="44" t="s">
        <v>180</v>
      </c>
      <c r="B122" s="50" t="s">
        <v>336</v>
      </c>
      <c r="C122" s="45" t="s">
        <v>533</v>
      </c>
      <c r="D122" s="49" t="s">
        <v>532</v>
      </c>
      <c r="E122" s="50" t="s">
        <v>43</v>
      </c>
      <c r="F122" s="43">
        <f>7.35*3</f>
        <v>22.049999999999997</v>
      </c>
      <c r="G122" s="224" t="s">
        <v>559</v>
      </c>
      <c r="H122" s="225"/>
    </row>
    <row r="123" spans="1:9" s="48" customFormat="1" ht="29.25">
      <c r="A123" s="44" t="s">
        <v>181</v>
      </c>
      <c r="B123" s="50" t="s">
        <v>336</v>
      </c>
      <c r="C123" s="45" t="s">
        <v>195</v>
      </c>
      <c r="D123" s="49" t="s">
        <v>540</v>
      </c>
      <c r="E123" s="45" t="s">
        <v>161</v>
      </c>
      <c r="F123" s="43">
        <v>2</v>
      </c>
      <c r="G123" s="222" t="s">
        <v>434</v>
      </c>
      <c r="H123" s="223"/>
    </row>
    <row r="124" spans="1:9" s="48" customFormat="1">
      <c r="A124" s="44" t="s">
        <v>182</v>
      </c>
      <c r="B124" s="50" t="s">
        <v>336</v>
      </c>
      <c r="C124" s="45" t="s">
        <v>251</v>
      </c>
      <c r="D124" s="49" t="s">
        <v>252</v>
      </c>
      <c r="E124" s="45" t="s">
        <v>161</v>
      </c>
      <c r="F124" s="136">
        <v>15</v>
      </c>
      <c r="G124" s="222" t="s">
        <v>560</v>
      </c>
      <c r="H124" s="223"/>
    </row>
    <row r="125" spans="1:9" s="48" customFormat="1" ht="29.25">
      <c r="A125" s="44" t="s">
        <v>244</v>
      </c>
      <c r="B125" s="50" t="s">
        <v>336</v>
      </c>
      <c r="C125" s="45" t="s">
        <v>283</v>
      </c>
      <c r="D125" s="49" t="s">
        <v>284</v>
      </c>
      <c r="E125" s="45" t="s">
        <v>161</v>
      </c>
      <c r="F125" s="43">
        <v>13</v>
      </c>
      <c r="G125" s="222" t="s">
        <v>435</v>
      </c>
      <c r="H125" s="223"/>
    </row>
    <row r="126" spans="1:9" s="48" customFormat="1" ht="31.5" customHeight="1">
      <c r="A126" s="44" t="s">
        <v>245</v>
      </c>
      <c r="B126" s="50" t="s">
        <v>336</v>
      </c>
      <c r="C126" s="45" t="s">
        <v>535</v>
      </c>
      <c r="D126" s="49" t="s">
        <v>534</v>
      </c>
      <c r="E126" s="45" t="s">
        <v>43</v>
      </c>
      <c r="F126" s="43">
        <f>1.57+5.57+3.14+4.03</f>
        <v>14.310000000000002</v>
      </c>
      <c r="G126" s="224" t="s">
        <v>561</v>
      </c>
      <c r="H126" s="225"/>
    </row>
    <row r="127" spans="1:9" s="48" customFormat="1" ht="29.25">
      <c r="A127" s="44" t="s">
        <v>246</v>
      </c>
      <c r="B127" s="50" t="s">
        <v>336</v>
      </c>
      <c r="C127" s="45" t="s">
        <v>537</v>
      </c>
      <c r="D127" s="49" t="s">
        <v>536</v>
      </c>
      <c r="E127" s="45" t="s">
        <v>161</v>
      </c>
      <c r="F127" s="43">
        <v>4</v>
      </c>
      <c r="G127" s="222" t="s">
        <v>612</v>
      </c>
      <c r="H127" s="223"/>
    </row>
    <row r="128" spans="1:9" s="48" customFormat="1">
      <c r="A128" s="44" t="s">
        <v>471</v>
      </c>
      <c r="B128" s="50" t="s">
        <v>336</v>
      </c>
      <c r="C128" s="45" t="s">
        <v>539</v>
      </c>
      <c r="D128" s="49" t="s">
        <v>538</v>
      </c>
      <c r="E128" s="45" t="s">
        <v>161</v>
      </c>
      <c r="F128" s="43">
        <f>6+9</f>
        <v>15</v>
      </c>
      <c r="G128" s="222" t="s">
        <v>660</v>
      </c>
      <c r="H128" s="223"/>
    </row>
    <row r="129" spans="1:8" s="48" customFormat="1" ht="29.25">
      <c r="A129" s="44" t="s">
        <v>573</v>
      </c>
      <c r="B129" s="50" t="s">
        <v>336</v>
      </c>
      <c r="C129" s="45" t="s">
        <v>572</v>
      </c>
      <c r="D129" s="49" t="s">
        <v>571</v>
      </c>
      <c r="E129" s="45" t="s">
        <v>161</v>
      </c>
      <c r="F129" s="43">
        <v>1</v>
      </c>
      <c r="G129" s="222" t="s">
        <v>605</v>
      </c>
      <c r="H129" s="223"/>
    </row>
    <row r="130" spans="1:8" s="48" customFormat="1">
      <c r="A130" s="44" t="s">
        <v>575</v>
      </c>
      <c r="B130" s="50" t="s">
        <v>336</v>
      </c>
      <c r="C130" s="45" t="s">
        <v>195</v>
      </c>
      <c r="D130" s="49" t="s">
        <v>574</v>
      </c>
      <c r="E130" s="45" t="s">
        <v>161</v>
      </c>
      <c r="F130" s="43">
        <v>8</v>
      </c>
      <c r="G130" s="222" t="s">
        <v>606</v>
      </c>
      <c r="H130" s="223"/>
    </row>
    <row r="131" spans="1:8" s="48" customFormat="1">
      <c r="A131" s="44" t="s">
        <v>576</v>
      </c>
      <c r="B131" s="50" t="s">
        <v>336</v>
      </c>
      <c r="C131" s="45" t="s">
        <v>578</v>
      </c>
      <c r="D131" s="49" t="s">
        <v>577</v>
      </c>
      <c r="E131" s="45" t="s">
        <v>161</v>
      </c>
      <c r="F131" s="43">
        <v>2</v>
      </c>
      <c r="G131" s="222" t="s">
        <v>606</v>
      </c>
      <c r="H131" s="223"/>
    </row>
    <row r="132" spans="1:8" s="48" customFormat="1">
      <c r="A132" s="44" t="s">
        <v>587</v>
      </c>
      <c r="B132" s="50" t="s">
        <v>336</v>
      </c>
      <c r="C132" s="45" t="s">
        <v>581</v>
      </c>
      <c r="D132" s="49" t="s">
        <v>579</v>
      </c>
      <c r="E132" s="45" t="s">
        <v>161</v>
      </c>
      <c r="F132" s="43">
        <v>2</v>
      </c>
      <c r="G132" s="222" t="s">
        <v>607</v>
      </c>
      <c r="H132" s="223"/>
    </row>
    <row r="133" spans="1:8" s="48" customFormat="1">
      <c r="A133" s="44" t="s">
        <v>588</v>
      </c>
      <c r="B133" s="50" t="s">
        <v>336</v>
      </c>
      <c r="C133" s="45" t="s">
        <v>580</v>
      </c>
      <c r="D133" s="49" t="s">
        <v>599</v>
      </c>
      <c r="E133" s="45" t="s">
        <v>161</v>
      </c>
      <c r="F133" s="43">
        <v>2</v>
      </c>
      <c r="G133" s="222" t="s">
        <v>607</v>
      </c>
      <c r="H133" s="223"/>
    </row>
    <row r="134" spans="1:8" s="48" customFormat="1">
      <c r="A134" s="44" t="s">
        <v>589</v>
      </c>
      <c r="B134" s="50" t="s">
        <v>336</v>
      </c>
      <c r="C134" s="45" t="s">
        <v>583</v>
      </c>
      <c r="D134" s="49" t="s">
        <v>582</v>
      </c>
      <c r="E134" s="45" t="s">
        <v>161</v>
      </c>
      <c r="F134" s="43">
        <v>2</v>
      </c>
      <c r="G134" s="222" t="s">
        <v>607</v>
      </c>
      <c r="H134" s="223"/>
    </row>
    <row r="135" spans="1:8" s="48" customFormat="1">
      <c r="A135" s="44" t="s">
        <v>590</v>
      </c>
      <c r="B135" s="50" t="s">
        <v>336</v>
      </c>
      <c r="C135" s="45" t="s">
        <v>585</v>
      </c>
      <c r="D135" s="49" t="s">
        <v>584</v>
      </c>
      <c r="E135" s="45" t="s">
        <v>161</v>
      </c>
      <c r="F135" s="43">
        <v>2</v>
      </c>
      <c r="G135" s="222" t="s">
        <v>607</v>
      </c>
      <c r="H135" s="223"/>
    </row>
    <row r="136" spans="1:8" s="48" customFormat="1">
      <c r="A136" s="44" t="s">
        <v>591</v>
      </c>
      <c r="B136" s="50" t="s">
        <v>336</v>
      </c>
      <c r="C136" s="45" t="s">
        <v>586</v>
      </c>
      <c r="D136" s="49" t="s">
        <v>598</v>
      </c>
      <c r="E136" s="45" t="s">
        <v>43</v>
      </c>
      <c r="F136" s="43">
        <v>6</v>
      </c>
      <c r="G136" s="222" t="s">
        <v>607</v>
      </c>
      <c r="H136" s="223"/>
    </row>
    <row r="137" spans="1:8" s="48" customFormat="1" ht="29.25">
      <c r="A137" s="44" t="s">
        <v>596</v>
      </c>
      <c r="B137" s="50" t="s">
        <v>336</v>
      </c>
      <c r="C137" s="45" t="s">
        <v>595</v>
      </c>
      <c r="D137" s="49" t="s">
        <v>597</v>
      </c>
      <c r="E137" s="45" t="s">
        <v>43</v>
      </c>
      <c r="F137" s="43">
        <v>10</v>
      </c>
      <c r="G137" s="222" t="s">
        <v>608</v>
      </c>
      <c r="H137" s="223"/>
    </row>
    <row r="138" spans="1:8" s="48" customFormat="1" ht="29.25">
      <c r="A138" s="44" t="s">
        <v>625</v>
      </c>
      <c r="B138" s="50" t="s">
        <v>336</v>
      </c>
      <c r="C138" s="45" t="s">
        <v>622</v>
      </c>
      <c r="D138" s="49" t="s">
        <v>623</v>
      </c>
      <c r="E138" s="45" t="s">
        <v>161</v>
      </c>
      <c r="F138" s="43">
        <v>3</v>
      </c>
      <c r="G138" s="222" t="s">
        <v>628</v>
      </c>
      <c r="H138" s="223"/>
    </row>
    <row r="139" spans="1:8" s="48" customFormat="1" ht="29.25">
      <c r="A139" s="44" t="s">
        <v>626</v>
      </c>
      <c r="B139" s="50" t="s">
        <v>336</v>
      </c>
      <c r="C139" s="45" t="s">
        <v>624</v>
      </c>
      <c r="D139" s="49" t="s">
        <v>690</v>
      </c>
      <c r="E139" s="45" t="s">
        <v>161</v>
      </c>
      <c r="F139" s="43">
        <v>6</v>
      </c>
      <c r="G139" s="222" t="s">
        <v>629</v>
      </c>
      <c r="H139" s="223"/>
    </row>
    <row r="140" spans="1:8" s="48" customFormat="1">
      <c r="A140" s="44"/>
      <c r="B140" s="45"/>
      <c r="C140" s="45"/>
      <c r="D140" s="140"/>
      <c r="E140" s="45"/>
      <c r="F140" s="43"/>
      <c r="G140" s="222"/>
      <c r="H140" s="223"/>
    </row>
    <row r="141" spans="1:8">
      <c r="A141" s="11">
        <v>14</v>
      </c>
      <c r="B141" s="14"/>
      <c r="C141" s="14"/>
      <c r="D141" s="8" t="s">
        <v>81</v>
      </c>
      <c r="E141" s="14"/>
      <c r="F141" s="14"/>
      <c r="G141" s="212"/>
      <c r="H141" s="213"/>
    </row>
    <row r="142" spans="1:8" s="48" customFormat="1">
      <c r="A142" s="44" t="s">
        <v>77</v>
      </c>
      <c r="B142" s="50" t="s">
        <v>336</v>
      </c>
      <c r="C142" s="45" t="s">
        <v>196</v>
      </c>
      <c r="D142" s="46" t="s">
        <v>197</v>
      </c>
      <c r="E142" s="45" t="s">
        <v>161</v>
      </c>
      <c r="F142" s="43">
        <v>1</v>
      </c>
      <c r="G142" s="222" t="s">
        <v>436</v>
      </c>
      <c r="H142" s="223"/>
    </row>
    <row r="143" spans="1:8" s="48" customFormat="1">
      <c r="A143" s="44" t="s">
        <v>78</v>
      </c>
      <c r="B143" s="50" t="s">
        <v>336</v>
      </c>
      <c r="C143" s="45" t="s">
        <v>198</v>
      </c>
      <c r="D143" s="46" t="s">
        <v>199</v>
      </c>
      <c r="E143" s="45" t="s">
        <v>161</v>
      </c>
      <c r="F143" s="43">
        <v>1</v>
      </c>
      <c r="G143" s="222" t="s">
        <v>436</v>
      </c>
      <c r="H143" s="223"/>
    </row>
    <row r="144" spans="1:8" s="48" customFormat="1" ht="29.25">
      <c r="A144" s="44" t="s">
        <v>79</v>
      </c>
      <c r="B144" s="50" t="s">
        <v>336</v>
      </c>
      <c r="C144" s="7" t="s">
        <v>430</v>
      </c>
      <c r="D144" s="28" t="s">
        <v>431</v>
      </c>
      <c r="E144" s="45" t="s">
        <v>161</v>
      </c>
      <c r="F144" s="43">
        <v>7</v>
      </c>
      <c r="G144" s="222" t="s">
        <v>432</v>
      </c>
      <c r="H144" s="223"/>
    </row>
    <row r="145" spans="1:9" s="48" customFormat="1">
      <c r="A145" s="44"/>
      <c r="B145" s="45"/>
      <c r="C145" s="45"/>
      <c r="D145" s="140"/>
      <c r="E145" s="45"/>
      <c r="F145" s="43"/>
      <c r="G145" s="222"/>
      <c r="H145" s="223"/>
    </row>
    <row r="146" spans="1:9">
      <c r="A146" s="11">
        <v>15</v>
      </c>
      <c r="B146" s="14"/>
      <c r="C146" s="14"/>
      <c r="D146" s="8" t="s">
        <v>87</v>
      </c>
      <c r="E146" s="14"/>
      <c r="F146" s="14"/>
      <c r="G146" s="212"/>
      <c r="H146" s="213"/>
    </row>
    <row r="147" spans="1:9" s="48" customFormat="1" ht="41.25" customHeight="1">
      <c r="A147" s="44" t="s">
        <v>82</v>
      </c>
      <c r="B147" s="50" t="s">
        <v>336</v>
      </c>
      <c r="C147" s="45" t="s">
        <v>201</v>
      </c>
      <c r="D147" s="46" t="s">
        <v>202</v>
      </c>
      <c r="E147" s="45" t="s">
        <v>43</v>
      </c>
      <c r="F147" s="43">
        <f>(1.86*6)+(10.18+6.38+3.36+8.82+1.69+3.78+2.4)</f>
        <v>47.769999999999996</v>
      </c>
      <c r="G147" s="224" t="s">
        <v>562</v>
      </c>
      <c r="H147" s="225"/>
    </row>
    <row r="148" spans="1:9" s="48" customFormat="1" ht="29.25">
      <c r="A148" s="44" t="s">
        <v>83</v>
      </c>
      <c r="B148" s="50" t="s">
        <v>336</v>
      </c>
      <c r="C148" s="45" t="s">
        <v>203</v>
      </c>
      <c r="D148" s="46" t="s">
        <v>204</v>
      </c>
      <c r="E148" s="45" t="s">
        <v>43</v>
      </c>
      <c r="F148" s="43">
        <f>1.88*2+1.5+1.8+0.76+0.6</f>
        <v>8.42</v>
      </c>
      <c r="G148" s="224" t="s">
        <v>563</v>
      </c>
      <c r="H148" s="225"/>
      <c r="I148" s="54"/>
    </row>
    <row r="149" spans="1:9" s="48" customFormat="1" ht="48" customHeight="1">
      <c r="A149" s="44" t="s">
        <v>84</v>
      </c>
      <c r="B149" s="50" t="s">
        <v>336</v>
      </c>
      <c r="C149" s="45" t="s">
        <v>205</v>
      </c>
      <c r="D149" s="46" t="s">
        <v>206</v>
      </c>
      <c r="E149" s="45" t="s">
        <v>43</v>
      </c>
      <c r="F149" s="43">
        <f>(2.92+2.2+2.07+(0.6*3)+1.128+1.4+0.7+1.42+0.96+2.8+2.23+2.7+6+1.37)</f>
        <v>29.698</v>
      </c>
      <c r="G149" s="224" t="s">
        <v>691</v>
      </c>
      <c r="H149" s="225"/>
      <c r="I149" s="54"/>
    </row>
    <row r="150" spans="1:9" s="48" customFormat="1" ht="41.25" customHeight="1">
      <c r="A150" s="44" t="s">
        <v>85</v>
      </c>
      <c r="B150" s="50" t="s">
        <v>336</v>
      </c>
      <c r="C150" s="45" t="s">
        <v>207</v>
      </c>
      <c r="D150" s="46" t="s">
        <v>208</v>
      </c>
      <c r="E150" s="45" t="s">
        <v>161</v>
      </c>
      <c r="F150" s="43">
        <v>6</v>
      </c>
      <c r="G150" s="214" t="s">
        <v>366</v>
      </c>
      <c r="H150" s="215"/>
      <c r="I150" s="54"/>
    </row>
    <row r="151" spans="1:9" s="48" customFormat="1">
      <c r="A151" s="44" t="s">
        <v>86</v>
      </c>
      <c r="B151" s="50" t="s">
        <v>336</v>
      </c>
      <c r="C151" s="45" t="s">
        <v>209</v>
      </c>
      <c r="D151" s="46" t="s">
        <v>210</v>
      </c>
      <c r="E151" s="45" t="s">
        <v>161</v>
      </c>
      <c r="F151" s="43">
        <v>2</v>
      </c>
      <c r="G151" s="222" t="s">
        <v>470</v>
      </c>
      <c r="H151" s="223"/>
    </row>
    <row r="152" spans="1:9" s="48" customFormat="1" ht="43.5" customHeight="1">
      <c r="A152" s="44" t="s">
        <v>200</v>
      </c>
      <c r="B152" s="50" t="s">
        <v>336</v>
      </c>
      <c r="C152" s="45" t="s">
        <v>220</v>
      </c>
      <c r="D152" s="46" t="s">
        <v>221</v>
      </c>
      <c r="E152" s="45" t="s">
        <v>43</v>
      </c>
      <c r="F152" s="43">
        <f>(14*2)+2.5+1.5+2.62+2.85+1.83+3.1+1.88+1.88+1.86</f>
        <v>48.02</v>
      </c>
      <c r="G152" s="224" t="s">
        <v>564</v>
      </c>
      <c r="H152" s="225"/>
      <c r="I152" s="54"/>
    </row>
    <row r="153" spans="1:9" s="48" customFormat="1">
      <c r="A153" s="44" t="s">
        <v>291</v>
      </c>
      <c r="B153" s="50" t="s">
        <v>336</v>
      </c>
      <c r="C153" s="45" t="s">
        <v>255</v>
      </c>
      <c r="D153" s="46" t="s">
        <v>256</v>
      </c>
      <c r="E153" s="45" t="s">
        <v>43</v>
      </c>
      <c r="F153" s="43">
        <v>3</v>
      </c>
      <c r="G153" s="222" t="s">
        <v>565</v>
      </c>
      <c r="H153" s="223"/>
      <c r="I153" s="54"/>
    </row>
    <row r="154" spans="1:9" s="48" customFormat="1">
      <c r="A154" s="44" t="s">
        <v>292</v>
      </c>
      <c r="B154" s="50" t="s">
        <v>336</v>
      </c>
      <c r="C154" s="45" t="s">
        <v>222</v>
      </c>
      <c r="D154" s="46" t="s">
        <v>223</v>
      </c>
      <c r="E154" s="45" t="s">
        <v>43</v>
      </c>
      <c r="F154" s="43">
        <f>9*2.38</f>
        <v>21.419999999999998</v>
      </c>
      <c r="G154" s="222" t="s">
        <v>567</v>
      </c>
      <c r="H154" s="223"/>
    </row>
    <row r="155" spans="1:9" s="48" customFormat="1">
      <c r="A155" s="44" t="s">
        <v>293</v>
      </c>
      <c r="B155" s="50" t="s">
        <v>336</v>
      </c>
      <c r="C155" s="45" t="s">
        <v>257</v>
      </c>
      <c r="D155" s="46" t="s">
        <v>258</v>
      </c>
      <c r="E155" s="45" t="s">
        <v>43</v>
      </c>
      <c r="F155" s="43">
        <f>ROUND(12*2,2)</f>
        <v>24</v>
      </c>
      <c r="G155" s="222" t="s">
        <v>566</v>
      </c>
      <c r="H155" s="223"/>
    </row>
    <row r="156" spans="1:9" s="48" customFormat="1">
      <c r="A156" s="44" t="s">
        <v>294</v>
      </c>
      <c r="B156" s="50" t="s">
        <v>336</v>
      </c>
      <c r="C156" s="45" t="s">
        <v>224</v>
      </c>
      <c r="D156" s="46" t="s">
        <v>225</v>
      </c>
      <c r="E156" s="45" t="s">
        <v>161</v>
      </c>
      <c r="F156" s="43">
        <v>1</v>
      </c>
      <c r="G156" s="222" t="s">
        <v>367</v>
      </c>
      <c r="H156" s="223"/>
    </row>
    <row r="157" spans="1:9" s="48" customFormat="1" ht="33.75" customHeight="1">
      <c r="A157" s="44" t="s">
        <v>295</v>
      </c>
      <c r="B157" s="50" t="s">
        <v>336</v>
      </c>
      <c r="C157" s="45" t="s">
        <v>542</v>
      </c>
      <c r="D157" s="46" t="s">
        <v>541</v>
      </c>
      <c r="E157" s="45" t="s">
        <v>161</v>
      </c>
      <c r="F157" s="43">
        <v>1</v>
      </c>
      <c r="G157" s="224" t="s">
        <v>429</v>
      </c>
      <c r="H157" s="225"/>
    </row>
    <row r="158" spans="1:9" s="48" customFormat="1" ht="33.75" customHeight="1">
      <c r="A158" s="44" t="s">
        <v>620</v>
      </c>
      <c r="B158" s="50" t="s">
        <v>336</v>
      </c>
      <c r="C158" s="45" t="s">
        <v>619</v>
      </c>
      <c r="D158" s="46" t="s">
        <v>618</v>
      </c>
      <c r="E158" s="45" t="s">
        <v>161</v>
      </c>
      <c r="F158" s="43">
        <v>3</v>
      </c>
      <c r="G158" s="224" t="s">
        <v>621</v>
      </c>
      <c r="H158" s="225"/>
    </row>
    <row r="159" spans="1:9" s="48" customFormat="1">
      <c r="A159" s="44"/>
      <c r="B159" s="50"/>
      <c r="C159" s="45"/>
      <c r="D159" s="140"/>
      <c r="E159" s="45"/>
      <c r="F159" s="43"/>
      <c r="G159" s="222"/>
      <c r="H159" s="223"/>
    </row>
    <row r="160" spans="1:9">
      <c r="A160" s="11">
        <v>16</v>
      </c>
      <c r="B160" s="14"/>
      <c r="C160" s="14"/>
      <c r="D160" s="8" t="s">
        <v>167</v>
      </c>
      <c r="E160" s="14"/>
      <c r="F160" s="14"/>
      <c r="G160" s="212"/>
      <c r="H160" s="213"/>
    </row>
    <row r="161" spans="1:9" ht="29.25">
      <c r="A161" s="13" t="s">
        <v>90</v>
      </c>
      <c r="B161" s="50" t="s">
        <v>336</v>
      </c>
      <c r="C161" s="7" t="s">
        <v>168</v>
      </c>
      <c r="D161" s="27" t="s">
        <v>169</v>
      </c>
      <c r="E161" s="7" t="s">
        <v>43</v>
      </c>
      <c r="F161" s="20">
        <f>ROUND(0.9*2,2)</f>
        <v>1.8</v>
      </c>
      <c r="G161" s="216" t="s">
        <v>609</v>
      </c>
      <c r="H161" s="217"/>
    </row>
    <row r="162" spans="1:9" ht="33.75" customHeight="1">
      <c r="A162" s="13" t="s">
        <v>91</v>
      </c>
      <c r="B162" s="50" t="s">
        <v>336</v>
      </c>
      <c r="C162" s="7" t="s">
        <v>170</v>
      </c>
      <c r="D162" s="27" t="s">
        <v>171</v>
      </c>
      <c r="E162" s="7" t="s">
        <v>161</v>
      </c>
      <c r="F162" s="20">
        <v>6</v>
      </c>
      <c r="G162" s="214" t="s">
        <v>355</v>
      </c>
      <c r="H162" s="215"/>
      <c r="I162" s="38"/>
    </row>
    <row r="163" spans="1:9" s="48" customFormat="1" ht="29.25">
      <c r="A163" s="13" t="s">
        <v>164</v>
      </c>
      <c r="B163" s="50" t="s">
        <v>336</v>
      </c>
      <c r="C163" s="45" t="s">
        <v>172</v>
      </c>
      <c r="D163" s="46" t="s">
        <v>173</v>
      </c>
      <c r="E163" s="45" t="s">
        <v>161</v>
      </c>
      <c r="F163" s="43">
        <v>6</v>
      </c>
      <c r="G163" s="218" t="s">
        <v>356</v>
      </c>
      <c r="H163" s="219"/>
    </row>
    <row r="164" spans="1:9">
      <c r="A164" s="13" t="s">
        <v>165</v>
      </c>
      <c r="B164" s="50" t="s">
        <v>336</v>
      </c>
      <c r="C164" s="7" t="s">
        <v>226</v>
      </c>
      <c r="D164" s="27" t="s">
        <v>227</v>
      </c>
      <c r="E164" s="7" t="s">
        <v>161</v>
      </c>
      <c r="F164" s="20">
        <v>2</v>
      </c>
      <c r="G164" s="218" t="s">
        <v>356</v>
      </c>
      <c r="H164" s="219"/>
    </row>
    <row r="165" spans="1:9">
      <c r="A165" s="13" t="s">
        <v>166</v>
      </c>
      <c r="B165" s="50" t="s">
        <v>336</v>
      </c>
      <c r="C165" s="7" t="s">
        <v>228</v>
      </c>
      <c r="D165" s="27" t="s">
        <v>229</v>
      </c>
      <c r="E165" s="7" t="s">
        <v>161</v>
      </c>
      <c r="F165" s="20">
        <v>2</v>
      </c>
      <c r="G165" s="218" t="s">
        <v>357</v>
      </c>
      <c r="H165" s="219"/>
    </row>
    <row r="166" spans="1:9" s="48" customFormat="1" ht="29.25">
      <c r="A166" s="13" t="s">
        <v>211</v>
      </c>
      <c r="B166" s="50" t="s">
        <v>336</v>
      </c>
      <c r="C166" s="137" t="s">
        <v>543</v>
      </c>
      <c r="D166" s="46" t="s">
        <v>544</v>
      </c>
      <c r="E166" s="45" t="s">
        <v>161</v>
      </c>
      <c r="F166" s="43">
        <v>2</v>
      </c>
      <c r="G166" s="216" t="s">
        <v>358</v>
      </c>
      <c r="H166" s="217"/>
    </row>
    <row r="167" spans="1:9">
      <c r="A167" s="13" t="s">
        <v>212</v>
      </c>
      <c r="B167" s="50" t="s">
        <v>336</v>
      </c>
      <c r="C167" s="7" t="s">
        <v>230</v>
      </c>
      <c r="D167" s="27" t="s">
        <v>231</v>
      </c>
      <c r="E167" s="7" t="s">
        <v>161</v>
      </c>
      <c r="F167" s="20">
        <v>9</v>
      </c>
      <c r="G167" s="218" t="s">
        <v>359</v>
      </c>
      <c r="H167" s="219"/>
    </row>
    <row r="168" spans="1:9" ht="31.5" customHeight="1">
      <c r="A168" s="13" t="s">
        <v>213</v>
      </c>
      <c r="B168" s="50" t="s">
        <v>336</v>
      </c>
      <c r="C168" s="7" t="s">
        <v>232</v>
      </c>
      <c r="D168" s="27" t="s">
        <v>233</v>
      </c>
      <c r="E168" s="7" t="s">
        <v>161</v>
      </c>
      <c r="F168" s="20">
        <v>9</v>
      </c>
      <c r="G168" s="214" t="s">
        <v>360</v>
      </c>
      <c r="H168" s="215"/>
    </row>
    <row r="169" spans="1:9" ht="31.5" customHeight="1">
      <c r="A169" s="13" t="s">
        <v>214</v>
      </c>
      <c r="B169" s="50" t="s">
        <v>336</v>
      </c>
      <c r="C169" s="7" t="s">
        <v>253</v>
      </c>
      <c r="D169" s="40" t="s">
        <v>254</v>
      </c>
      <c r="E169" s="7" t="s">
        <v>161</v>
      </c>
      <c r="F169" s="20">
        <v>7</v>
      </c>
      <c r="G169" s="214" t="s">
        <v>664</v>
      </c>
      <c r="H169" s="215"/>
    </row>
    <row r="170" spans="1:9" ht="27.75" customHeight="1">
      <c r="A170" s="13" t="s">
        <v>215</v>
      </c>
      <c r="B170" s="50" t="s">
        <v>336</v>
      </c>
      <c r="C170" s="130" t="s">
        <v>352</v>
      </c>
      <c r="D170" s="2" t="s">
        <v>351</v>
      </c>
      <c r="E170" s="7" t="s">
        <v>161</v>
      </c>
      <c r="F170" s="20">
        <v>9</v>
      </c>
      <c r="G170" s="214" t="s">
        <v>354</v>
      </c>
      <c r="H170" s="215"/>
    </row>
    <row r="171" spans="1:9" ht="60" customHeight="1">
      <c r="A171" s="13" t="s">
        <v>216</v>
      </c>
      <c r="B171" s="50" t="s">
        <v>336</v>
      </c>
      <c r="C171" s="137" t="s">
        <v>614</v>
      </c>
      <c r="D171" s="46" t="s">
        <v>613</v>
      </c>
      <c r="E171" s="45" t="s">
        <v>161</v>
      </c>
      <c r="F171" s="43">
        <v>7</v>
      </c>
      <c r="G171" s="214" t="s">
        <v>353</v>
      </c>
      <c r="H171" s="215"/>
    </row>
    <row r="172" spans="1:9">
      <c r="A172" s="13" t="s">
        <v>217</v>
      </c>
      <c r="B172" s="50" t="s">
        <v>336</v>
      </c>
      <c r="C172" s="7" t="s">
        <v>259</v>
      </c>
      <c r="D172" s="27" t="s">
        <v>260</v>
      </c>
      <c r="E172" s="7" t="s">
        <v>161</v>
      </c>
      <c r="F172" s="20">
        <v>1</v>
      </c>
      <c r="G172" s="216" t="s">
        <v>437</v>
      </c>
      <c r="H172" s="217"/>
    </row>
    <row r="173" spans="1:9">
      <c r="A173" s="13" t="s">
        <v>218</v>
      </c>
      <c r="B173" s="50" t="s">
        <v>336</v>
      </c>
      <c r="C173" s="7" t="s">
        <v>234</v>
      </c>
      <c r="D173" s="27" t="s">
        <v>235</v>
      </c>
      <c r="E173" s="7" t="s">
        <v>161</v>
      </c>
      <c r="F173" s="20">
        <v>3</v>
      </c>
      <c r="G173" s="218" t="s">
        <v>362</v>
      </c>
      <c r="H173" s="219"/>
    </row>
    <row r="174" spans="1:9" ht="31.5" customHeight="1">
      <c r="A174" s="13" t="s">
        <v>219</v>
      </c>
      <c r="B174" s="50" t="s">
        <v>336</v>
      </c>
      <c r="C174" s="7" t="s">
        <v>330</v>
      </c>
      <c r="D174" s="27" t="s">
        <v>332</v>
      </c>
      <c r="E174" s="7" t="s">
        <v>161</v>
      </c>
      <c r="F174" s="43">
        <v>6</v>
      </c>
      <c r="G174" s="214" t="s">
        <v>363</v>
      </c>
      <c r="H174" s="215"/>
    </row>
    <row r="175" spans="1:9">
      <c r="A175" s="13" t="s">
        <v>331</v>
      </c>
      <c r="B175" s="50" t="s">
        <v>336</v>
      </c>
      <c r="C175" s="7" t="s">
        <v>338</v>
      </c>
      <c r="D175" s="27" t="s">
        <v>337</v>
      </c>
      <c r="E175" s="7" t="s">
        <v>161</v>
      </c>
      <c r="F175" s="43">
        <v>2</v>
      </c>
      <c r="G175" s="216" t="s">
        <v>364</v>
      </c>
      <c r="H175" s="217"/>
    </row>
    <row r="176" spans="1:9" ht="30.75" customHeight="1">
      <c r="A176" s="13" t="s">
        <v>333</v>
      </c>
      <c r="B176" s="50" t="s">
        <v>336</v>
      </c>
      <c r="C176" s="51" t="s">
        <v>334</v>
      </c>
      <c r="D176" s="28" t="s">
        <v>335</v>
      </c>
      <c r="E176" s="7" t="s">
        <v>161</v>
      </c>
      <c r="F176" s="43">
        <v>6</v>
      </c>
      <c r="G176" s="214" t="s">
        <v>363</v>
      </c>
      <c r="H176" s="215"/>
    </row>
    <row r="177" spans="1:9" s="48" customFormat="1" ht="18" customHeight="1">
      <c r="A177" s="13" t="s">
        <v>339</v>
      </c>
      <c r="B177" s="50" t="s">
        <v>336</v>
      </c>
      <c r="C177" s="45" t="s">
        <v>348</v>
      </c>
      <c r="D177" s="46" t="s">
        <v>344</v>
      </c>
      <c r="E177" s="45" t="s">
        <v>40</v>
      </c>
      <c r="F177" s="43">
        <f>ROUND((1.3*2)+2.23+1.16,2)</f>
        <v>5.99</v>
      </c>
      <c r="G177" s="216" t="s">
        <v>569</v>
      </c>
      <c r="H177" s="217"/>
    </row>
    <row r="178" spans="1:9" s="48" customFormat="1">
      <c r="A178" s="13" t="s">
        <v>455</v>
      </c>
      <c r="B178" s="50" t="s">
        <v>336</v>
      </c>
      <c r="C178" s="45" t="s">
        <v>457</v>
      </c>
      <c r="D178" s="46" t="s">
        <v>456</v>
      </c>
      <c r="E178" s="45" t="s">
        <v>161</v>
      </c>
      <c r="F178" s="43">
        <v>1</v>
      </c>
      <c r="G178" s="216" t="s">
        <v>460</v>
      </c>
      <c r="H178" s="217"/>
    </row>
    <row r="179" spans="1:9" s="48" customFormat="1">
      <c r="A179" s="13" t="s">
        <v>458</v>
      </c>
      <c r="B179" s="50" t="s">
        <v>336</v>
      </c>
      <c r="C179" s="45" t="s">
        <v>462</v>
      </c>
      <c r="D179" s="46" t="s">
        <v>461</v>
      </c>
      <c r="E179" s="45" t="s">
        <v>161</v>
      </c>
      <c r="F179" s="39">
        <v>1</v>
      </c>
      <c r="G179" s="216" t="s">
        <v>463</v>
      </c>
      <c r="H179" s="217"/>
    </row>
    <row r="180" spans="1:9" s="48" customFormat="1">
      <c r="A180" s="13" t="s">
        <v>459</v>
      </c>
      <c r="B180" s="50" t="s">
        <v>336</v>
      </c>
      <c r="C180" s="137" t="s">
        <v>545</v>
      </c>
      <c r="D180" s="46" t="s">
        <v>546</v>
      </c>
      <c r="E180" s="45" t="s">
        <v>161</v>
      </c>
      <c r="F180" s="43">
        <v>2</v>
      </c>
      <c r="G180" s="216" t="s">
        <v>570</v>
      </c>
      <c r="H180" s="217"/>
    </row>
    <row r="181" spans="1:9" s="48" customFormat="1" ht="29.25">
      <c r="A181" s="13" t="s">
        <v>568</v>
      </c>
      <c r="B181" s="50" t="s">
        <v>336</v>
      </c>
      <c r="C181" s="137" t="s">
        <v>617</v>
      </c>
      <c r="D181" s="46" t="s">
        <v>616</v>
      </c>
      <c r="E181" s="45" t="s">
        <v>161</v>
      </c>
      <c r="F181" s="43">
        <v>1</v>
      </c>
      <c r="G181" s="220" t="s">
        <v>658</v>
      </c>
      <c r="H181" s="221"/>
    </row>
    <row r="182" spans="1:9" s="48" customFormat="1">
      <c r="A182" s="13" t="s">
        <v>655</v>
      </c>
      <c r="B182" s="50" t="s">
        <v>336</v>
      </c>
      <c r="C182" s="137" t="s">
        <v>630</v>
      </c>
      <c r="D182" s="46" t="s">
        <v>631</v>
      </c>
      <c r="E182" s="45" t="s">
        <v>161</v>
      </c>
      <c r="F182" s="43">
        <v>10</v>
      </c>
      <c r="G182" s="216" t="s">
        <v>659</v>
      </c>
      <c r="H182" s="217"/>
    </row>
    <row r="183" spans="1:9" s="48" customFormat="1" ht="37.5" customHeight="1">
      <c r="A183" s="13" t="s">
        <v>615</v>
      </c>
      <c r="B183" s="50" t="s">
        <v>336</v>
      </c>
      <c r="C183" s="137" t="s">
        <v>657</v>
      </c>
      <c r="D183" s="46" t="s">
        <v>656</v>
      </c>
      <c r="E183" s="45" t="s">
        <v>40</v>
      </c>
      <c r="F183" s="43">
        <f>2.5*0.9*3</f>
        <v>6.75</v>
      </c>
      <c r="G183" s="220" t="s">
        <v>702</v>
      </c>
      <c r="H183" s="221"/>
    </row>
    <row r="184" spans="1:9" s="48" customFormat="1" ht="27" customHeight="1">
      <c r="A184" s="13" t="s">
        <v>632</v>
      </c>
      <c r="B184" s="50" t="s">
        <v>336</v>
      </c>
      <c r="C184" s="137" t="s">
        <v>682</v>
      </c>
      <c r="D184" s="46" t="s">
        <v>703</v>
      </c>
      <c r="E184" s="45" t="s">
        <v>161</v>
      </c>
      <c r="F184" s="43">
        <v>3</v>
      </c>
      <c r="G184" s="220" t="s">
        <v>692</v>
      </c>
      <c r="H184" s="221"/>
    </row>
    <row r="185" spans="1:9" s="48" customFormat="1" ht="27" customHeight="1">
      <c r="A185" s="13" t="s">
        <v>685</v>
      </c>
      <c r="B185" s="50" t="s">
        <v>336</v>
      </c>
      <c r="C185" s="137" t="s">
        <v>683</v>
      </c>
      <c r="D185" s="46" t="s">
        <v>684</v>
      </c>
      <c r="E185" s="45" t="s">
        <v>161</v>
      </c>
      <c r="F185" s="43">
        <v>6</v>
      </c>
      <c r="G185" s="220" t="s">
        <v>693</v>
      </c>
      <c r="H185" s="221"/>
    </row>
    <row r="186" spans="1:9">
      <c r="A186" s="13"/>
      <c r="B186" s="7"/>
      <c r="C186" s="7"/>
      <c r="D186" s="33"/>
      <c r="E186" s="7"/>
      <c r="F186" s="20"/>
      <c r="G186" s="216"/>
      <c r="H186" s="217"/>
    </row>
    <row r="187" spans="1:9">
      <c r="A187" s="11">
        <v>17</v>
      </c>
      <c r="B187" s="14"/>
      <c r="C187" s="14"/>
      <c r="D187" s="8" t="s">
        <v>94</v>
      </c>
      <c r="E187" s="14"/>
      <c r="F187" s="14"/>
      <c r="G187" s="212"/>
      <c r="H187" s="213"/>
    </row>
    <row r="188" spans="1:9" s="48" customFormat="1" ht="138" customHeight="1">
      <c r="A188" s="44" t="s">
        <v>92</v>
      </c>
      <c r="B188" s="50" t="s">
        <v>336</v>
      </c>
      <c r="C188" s="50" t="s">
        <v>107</v>
      </c>
      <c r="D188" s="122" t="s">
        <v>108</v>
      </c>
      <c r="E188" s="50" t="s">
        <v>41</v>
      </c>
      <c r="F188" s="43">
        <v>26.59</v>
      </c>
      <c r="G188" s="214" t="s">
        <v>694</v>
      </c>
      <c r="H188" s="215"/>
    </row>
    <row r="189" spans="1:9">
      <c r="A189" s="13"/>
      <c r="B189" s="7"/>
      <c r="C189" s="7"/>
      <c r="D189" s="33"/>
      <c r="E189" s="7"/>
      <c r="F189" s="20"/>
      <c r="G189" s="216"/>
      <c r="H189" s="217"/>
    </row>
    <row r="190" spans="1:9">
      <c r="A190" s="11">
        <v>18</v>
      </c>
      <c r="B190" s="14"/>
      <c r="C190" s="14"/>
      <c r="D190" s="8" t="s">
        <v>34</v>
      </c>
      <c r="E190" s="14"/>
      <c r="F190" s="14"/>
      <c r="G190" s="212"/>
      <c r="H190" s="213"/>
      <c r="I190" s="24"/>
    </row>
    <row r="191" spans="1:9">
      <c r="A191" s="13" t="s">
        <v>95</v>
      </c>
      <c r="B191" s="50" t="s">
        <v>336</v>
      </c>
      <c r="C191" s="7" t="s">
        <v>236</v>
      </c>
      <c r="D191" s="2" t="s">
        <v>237</v>
      </c>
      <c r="E191" s="7" t="s">
        <v>40</v>
      </c>
      <c r="F191" s="20">
        <v>212.18799999999999</v>
      </c>
      <c r="G191" s="218" t="s">
        <v>368</v>
      </c>
      <c r="H191" s="219"/>
    </row>
    <row r="192" spans="1:9">
      <c r="A192" s="13"/>
      <c r="B192" s="7"/>
      <c r="C192" s="7"/>
      <c r="D192" s="32"/>
      <c r="E192" s="7"/>
      <c r="F192" s="20"/>
      <c r="G192" s="216"/>
      <c r="H192" s="217"/>
    </row>
    <row r="193" spans="1:9" ht="9" customHeight="1">
      <c r="A193" s="44"/>
      <c r="B193" s="45"/>
      <c r="C193" s="45"/>
      <c r="D193" s="60"/>
      <c r="E193" s="45"/>
      <c r="F193" s="45"/>
      <c r="G193" s="258"/>
      <c r="H193" s="259"/>
    </row>
    <row r="194" spans="1:9">
      <c r="A194" s="13"/>
      <c r="B194" s="7"/>
      <c r="C194" s="7"/>
      <c r="D194" s="15"/>
      <c r="E194" s="7"/>
      <c r="F194" s="7"/>
      <c r="G194" s="248"/>
      <c r="H194" s="249"/>
      <c r="I194" s="26"/>
    </row>
    <row r="195" spans="1:9">
      <c r="A195" s="13"/>
      <c r="B195" s="7"/>
      <c r="C195" s="7"/>
      <c r="D195" s="15"/>
      <c r="E195" s="7"/>
      <c r="F195" s="62"/>
      <c r="G195" s="248"/>
      <c r="H195" s="249"/>
      <c r="I195" s="26"/>
    </row>
    <row r="196" spans="1:9">
      <c r="A196" s="44"/>
      <c r="B196" s="45"/>
      <c r="C196" s="45"/>
      <c r="D196" s="72"/>
      <c r="E196" s="60"/>
      <c r="F196" s="60"/>
      <c r="G196" s="248"/>
      <c r="H196" s="249"/>
      <c r="I196" s="30"/>
    </row>
    <row r="197" spans="1:9">
      <c r="E197" s="255"/>
      <c r="F197" s="255"/>
      <c r="G197" s="255"/>
      <c r="H197" s="255"/>
      <c r="I197" s="41"/>
    </row>
    <row r="198" spans="1:9">
      <c r="E198" s="256"/>
      <c r="F198" s="256"/>
      <c r="G198" s="256"/>
      <c r="H198" s="256"/>
      <c r="I198" s="24"/>
    </row>
    <row r="199" spans="1:9">
      <c r="E199" s="257"/>
      <c r="F199" s="257"/>
      <c r="G199" s="257"/>
      <c r="H199" s="257"/>
    </row>
    <row r="200" spans="1:9">
      <c r="E200" s="254" t="s">
        <v>45</v>
      </c>
      <c r="F200" s="254"/>
      <c r="G200" s="254"/>
      <c r="H200" s="254"/>
    </row>
    <row r="201" spans="1:9">
      <c r="E201" s="254" t="s">
        <v>46</v>
      </c>
      <c r="F201" s="254"/>
      <c r="G201" s="254"/>
      <c r="H201" s="254"/>
    </row>
    <row r="202" spans="1:9">
      <c r="E202" s="254" t="s">
        <v>445</v>
      </c>
      <c r="F202" s="254"/>
      <c r="G202" s="254"/>
      <c r="H202" s="254"/>
      <c r="I202" s="24"/>
    </row>
    <row r="413" spans="1:8">
      <c r="A413" s="1"/>
      <c r="B413" s="1"/>
      <c r="C413" s="1"/>
      <c r="D413" s="1"/>
      <c r="E413" s="1"/>
      <c r="F413" s="1"/>
      <c r="G413" s="1"/>
      <c r="H413" s="1"/>
    </row>
    <row r="414" spans="1:8">
      <c r="A414" s="1"/>
      <c r="B414" s="1"/>
      <c r="C414" s="1"/>
      <c r="D414" s="1"/>
      <c r="E414" s="1"/>
      <c r="F414" s="1"/>
      <c r="G414" s="1"/>
      <c r="H414" s="1"/>
    </row>
    <row r="415" spans="1:8">
      <c r="A415" s="1"/>
      <c r="B415" s="1"/>
      <c r="C415" s="1"/>
      <c r="D415" s="1"/>
      <c r="E415" s="1"/>
      <c r="F415" s="1"/>
      <c r="G415" s="1"/>
      <c r="H415" s="1"/>
    </row>
    <row r="416" spans="1:8">
      <c r="A416" s="1"/>
      <c r="B416" s="1"/>
      <c r="C416" s="1"/>
      <c r="D416" s="1"/>
      <c r="E416" s="1"/>
      <c r="F416" s="1"/>
      <c r="G416" s="1"/>
      <c r="H416" s="1"/>
    </row>
    <row r="417" spans="1:8">
      <c r="A417" s="1"/>
      <c r="B417" s="1"/>
      <c r="C417" s="1"/>
      <c r="D417" s="1"/>
      <c r="E417" s="1"/>
      <c r="F417" s="1"/>
      <c r="G417" s="1"/>
      <c r="H417" s="1"/>
    </row>
    <row r="418" spans="1:8">
      <c r="A418" s="1"/>
      <c r="B418" s="1"/>
      <c r="C418" s="1"/>
      <c r="D418" s="1"/>
      <c r="E418" s="1"/>
      <c r="F418" s="1"/>
      <c r="G418" s="1"/>
      <c r="H418" s="1"/>
    </row>
    <row r="419" spans="1:8">
      <c r="A419" s="1"/>
      <c r="B419" s="1"/>
      <c r="C419" s="1"/>
      <c r="D419" s="1"/>
      <c r="E419" s="1"/>
      <c r="F419" s="1"/>
      <c r="G419" s="1"/>
      <c r="H419" s="1"/>
    </row>
    <row r="420" spans="1:8">
      <c r="A420" s="1"/>
      <c r="B420" s="1"/>
      <c r="C420" s="1"/>
      <c r="D420" s="1"/>
      <c r="E420" s="1"/>
      <c r="F420" s="1"/>
      <c r="G420" s="1"/>
      <c r="H420" s="1"/>
    </row>
    <row r="421" spans="1:8">
      <c r="A421" s="1"/>
      <c r="B421" s="1"/>
      <c r="C421" s="1"/>
      <c r="D421" s="1"/>
      <c r="E421" s="1"/>
      <c r="F421" s="1"/>
      <c r="G421" s="1"/>
      <c r="H421" s="1"/>
    </row>
    <row r="422" spans="1:8">
      <c r="A422" s="1"/>
      <c r="B422" s="1"/>
      <c r="C422" s="1"/>
      <c r="D422" s="1"/>
      <c r="E422" s="1"/>
      <c r="F422" s="1"/>
      <c r="G422" s="1"/>
      <c r="H422" s="1"/>
    </row>
    <row r="423" spans="1:8">
      <c r="A423" s="1"/>
      <c r="B423" s="1"/>
      <c r="C423" s="1"/>
      <c r="D423" s="1"/>
      <c r="E423" s="1"/>
      <c r="F423" s="1"/>
      <c r="G423" s="1"/>
      <c r="H423" s="1"/>
    </row>
    <row r="424" spans="1:8">
      <c r="A424" s="1"/>
      <c r="B424" s="1"/>
      <c r="C424" s="1"/>
      <c r="D424" s="1"/>
      <c r="E424" s="1"/>
      <c r="F424" s="1"/>
      <c r="G424" s="1"/>
      <c r="H424" s="1"/>
    </row>
    <row r="425" spans="1:8">
      <c r="A425" s="1"/>
      <c r="B425" s="1"/>
      <c r="C425" s="1"/>
      <c r="D425" s="1"/>
      <c r="E425" s="1"/>
      <c r="F425" s="1"/>
      <c r="G425" s="1"/>
      <c r="H425" s="1"/>
    </row>
    <row r="426" spans="1:8">
      <c r="A426" s="1"/>
      <c r="B426" s="1"/>
      <c r="C426" s="1"/>
      <c r="D426" s="1"/>
      <c r="E426" s="1"/>
      <c r="F426" s="1"/>
      <c r="G426" s="1"/>
      <c r="H426" s="1"/>
    </row>
    <row r="427" spans="1:8">
      <c r="A427" s="1"/>
      <c r="B427" s="1"/>
      <c r="C427" s="1"/>
      <c r="D427" s="1"/>
      <c r="E427" s="1"/>
      <c r="F427" s="1"/>
      <c r="G427" s="1"/>
      <c r="H427" s="1"/>
    </row>
    <row r="428" spans="1:8">
      <c r="A428" s="1"/>
      <c r="B428" s="1"/>
      <c r="C428" s="1"/>
      <c r="D428" s="1"/>
      <c r="E428" s="1"/>
      <c r="F428" s="1"/>
      <c r="G428" s="1"/>
      <c r="H428" s="1"/>
    </row>
    <row r="429" spans="1:8">
      <c r="A429" s="1"/>
      <c r="B429" s="1"/>
      <c r="C429" s="1"/>
      <c r="D429" s="1"/>
      <c r="E429" s="1"/>
      <c r="F429" s="1"/>
      <c r="G429" s="1"/>
      <c r="H429" s="1"/>
    </row>
    <row r="430" spans="1:8">
      <c r="A430" s="1"/>
      <c r="B430" s="1"/>
      <c r="C430" s="1"/>
      <c r="D430" s="1"/>
      <c r="E430" s="1"/>
      <c r="F430" s="1"/>
      <c r="G430" s="1"/>
      <c r="H430" s="1"/>
    </row>
    <row r="431" spans="1:8">
      <c r="A431" s="1"/>
      <c r="B431" s="1"/>
      <c r="C431" s="1"/>
      <c r="D431" s="1"/>
      <c r="E431" s="1"/>
      <c r="F431" s="1"/>
      <c r="G431" s="1"/>
      <c r="H431" s="1"/>
    </row>
    <row r="432" spans="1:8">
      <c r="A432" s="1"/>
      <c r="B432" s="1"/>
      <c r="C432" s="1"/>
      <c r="D432" s="1"/>
      <c r="E432" s="1"/>
      <c r="F432" s="1"/>
      <c r="G432" s="1"/>
      <c r="H432" s="1"/>
    </row>
    <row r="433" spans="1:8">
      <c r="A433" s="1"/>
      <c r="B433" s="1"/>
      <c r="C433" s="1"/>
      <c r="D433" s="1"/>
      <c r="E433" s="1"/>
      <c r="F433" s="1"/>
      <c r="G433" s="1"/>
      <c r="H433" s="1"/>
    </row>
    <row r="434" spans="1:8">
      <c r="A434" s="1"/>
      <c r="B434" s="1"/>
      <c r="C434" s="1"/>
      <c r="D434" s="1"/>
      <c r="E434" s="1"/>
      <c r="F434" s="1"/>
      <c r="G434" s="1"/>
      <c r="H434" s="1"/>
    </row>
    <row r="435" spans="1:8">
      <c r="A435" s="1"/>
      <c r="B435" s="1"/>
      <c r="C435" s="1"/>
      <c r="D435" s="1"/>
      <c r="E435" s="1"/>
      <c r="F435" s="1"/>
      <c r="G435" s="1"/>
      <c r="H435" s="1"/>
    </row>
    <row r="436" spans="1:8">
      <c r="A436" s="1"/>
      <c r="B436" s="1"/>
      <c r="C436" s="1"/>
      <c r="D436" s="1"/>
      <c r="E436" s="1"/>
      <c r="F436" s="1"/>
      <c r="G436" s="1"/>
      <c r="H436" s="1"/>
    </row>
    <row r="437" spans="1:8">
      <c r="A437" s="1"/>
      <c r="B437" s="1"/>
      <c r="C437" s="1"/>
      <c r="D437" s="1"/>
      <c r="E437" s="1"/>
      <c r="F437" s="1"/>
      <c r="G437" s="1"/>
      <c r="H437" s="1"/>
    </row>
    <row r="438" spans="1:8">
      <c r="A438" s="1"/>
      <c r="B438" s="1"/>
      <c r="C438" s="1"/>
      <c r="D438" s="1"/>
      <c r="E438" s="1"/>
      <c r="F438" s="1"/>
      <c r="G438" s="1"/>
      <c r="H438" s="1"/>
    </row>
    <row r="439" spans="1:8">
      <c r="A439" s="1"/>
      <c r="B439" s="1"/>
      <c r="C439" s="1"/>
      <c r="D439" s="1"/>
      <c r="E439" s="1"/>
      <c r="F439" s="1"/>
      <c r="G439" s="1"/>
      <c r="H439" s="1"/>
    </row>
    <row r="440" spans="1:8">
      <c r="A440" s="1"/>
      <c r="B440" s="1"/>
      <c r="C440" s="1"/>
      <c r="D440" s="1"/>
      <c r="E440" s="1"/>
      <c r="F440" s="1"/>
      <c r="G440" s="1"/>
      <c r="H440" s="1"/>
    </row>
    <row r="441" spans="1:8">
      <c r="A441" s="1"/>
      <c r="B441" s="1"/>
      <c r="C441" s="1"/>
      <c r="D441" s="1"/>
      <c r="E441" s="1"/>
      <c r="F441" s="1"/>
      <c r="G441" s="1"/>
      <c r="H441" s="1"/>
    </row>
    <row r="442" spans="1:8">
      <c r="A442" s="1"/>
      <c r="B442" s="1"/>
      <c r="C442" s="1"/>
      <c r="D442" s="1"/>
      <c r="E442" s="1"/>
      <c r="F442" s="1"/>
      <c r="G442" s="1"/>
      <c r="H442" s="1"/>
    </row>
    <row r="443" spans="1:8">
      <c r="A443" s="1"/>
      <c r="B443" s="1"/>
      <c r="C443" s="1"/>
      <c r="D443" s="1"/>
      <c r="E443" s="1"/>
      <c r="F443" s="1"/>
      <c r="G443" s="1"/>
      <c r="H443" s="1"/>
    </row>
    <row r="444" spans="1:8">
      <c r="A444" s="1"/>
      <c r="B444" s="1"/>
      <c r="C444" s="1"/>
      <c r="D444" s="1"/>
      <c r="E444" s="1"/>
      <c r="F444" s="1"/>
      <c r="G444" s="1"/>
      <c r="H444" s="1"/>
    </row>
    <row r="445" spans="1:8">
      <c r="A445" s="1"/>
      <c r="B445" s="1"/>
      <c r="C445" s="1"/>
      <c r="D445" s="1"/>
      <c r="E445" s="1"/>
      <c r="F445" s="1"/>
      <c r="G445" s="1"/>
      <c r="H445" s="1"/>
    </row>
    <row r="446" spans="1:8">
      <c r="A446" s="1"/>
      <c r="B446" s="1"/>
      <c r="C446" s="1"/>
      <c r="D446" s="1"/>
      <c r="E446" s="1"/>
      <c r="F446" s="1"/>
      <c r="G446" s="1"/>
      <c r="H446" s="1"/>
    </row>
    <row r="447" spans="1:8">
      <c r="A447" s="1"/>
      <c r="B447" s="1"/>
      <c r="C447" s="1"/>
      <c r="D447" s="1"/>
      <c r="E447" s="1"/>
      <c r="F447" s="1"/>
      <c r="G447" s="1"/>
      <c r="H447" s="1"/>
    </row>
    <row r="448" spans="1:8">
      <c r="A448" s="1"/>
      <c r="B448" s="1"/>
      <c r="C448" s="1"/>
      <c r="D448" s="1"/>
      <c r="E448" s="1"/>
      <c r="F448" s="1"/>
      <c r="G448" s="1"/>
      <c r="H448" s="1"/>
    </row>
    <row r="449" spans="1:8">
      <c r="A449" s="1"/>
      <c r="B449" s="1"/>
      <c r="C449" s="1"/>
      <c r="D449" s="1"/>
      <c r="E449" s="1"/>
      <c r="F449" s="1"/>
      <c r="G449" s="1"/>
      <c r="H449" s="1"/>
    </row>
    <row r="450" spans="1:8">
      <c r="A450" s="1"/>
      <c r="B450" s="1"/>
      <c r="C450" s="1"/>
      <c r="D450" s="1"/>
      <c r="E450" s="1"/>
      <c r="F450" s="1"/>
      <c r="G450" s="1"/>
      <c r="H450" s="1"/>
    </row>
    <row r="451" spans="1:8">
      <c r="A451" s="1"/>
      <c r="B451" s="1"/>
      <c r="C451" s="1"/>
      <c r="D451" s="1"/>
      <c r="E451" s="1"/>
      <c r="F451" s="1"/>
      <c r="G451" s="1"/>
      <c r="H451" s="1"/>
    </row>
    <row r="452" spans="1:8">
      <c r="A452" s="1"/>
      <c r="B452" s="1"/>
      <c r="C452" s="1"/>
      <c r="D452" s="1"/>
      <c r="E452" s="1"/>
      <c r="F452" s="1"/>
      <c r="G452" s="1"/>
      <c r="H452" s="1"/>
    </row>
    <row r="453" spans="1:8">
      <c r="A453" s="1"/>
      <c r="B453" s="1"/>
      <c r="C453" s="1"/>
      <c r="D453" s="1"/>
      <c r="E453" s="1"/>
      <c r="F453" s="1"/>
      <c r="G453" s="1"/>
      <c r="H453" s="1"/>
    </row>
    <row r="454" spans="1:8">
      <c r="A454" s="1"/>
      <c r="B454" s="1"/>
      <c r="C454" s="1"/>
      <c r="D454" s="1"/>
      <c r="E454" s="1"/>
      <c r="F454" s="1"/>
      <c r="G454" s="1"/>
      <c r="H454" s="1"/>
    </row>
    <row r="455" spans="1:8">
      <c r="A455" s="1"/>
      <c r="B455" s="1"/>
      <c r="C455" s="1"/>
      <c r="D455" s="1"/>
      <c r="E455" s="1"/>
      <c r="F455" s="1"/>
      <c r="G455" s="1"/>
      <c r="H455" s="1"/>
    </row>
    <row r="456" spans="1:8">
      <c r="A456" s="1"/>
      <c r="B456" s="1"/>
      <c r="C456" s="1"/>
      <c r="D456" s="1"/>
      <c r="E456" s="1"/>
      <c r="F456" s="1"/>
      <c r="G456" s="1"/>
      <c r="H456" s="1"/>
    </row>
    <row r="457" spans="1:8">
      <c r="A457" s="1"/>
      <c r="B457" s="1"/>
      <c r="C457" s="1"/>
      <c r="D457" s="1"/>
      <c r="E457" s="1"/>
      <c r="F457" s="1"/>
      <c r="G457" s="1"/>
      <c r="H457" s="1"/>
    </row>
    <row r="458" spans="1:8">
      <c r="A458" s="1"/>
      <c r="B458" s="1"/>
      <c r="C458" s="1"/>
      <c r="D458" s="1"/>
      <c r="E458" s="1"/>
      <c r="F458" s="1"/>
      <c r="G458" s="1"/>
      <c r="H458" s="1"/>
    </row>
    <row r="459" spans="1:8">
      <c r="A459" s="1"/>
      <c r="B459" s="1"/>
      <c r="C459" s="1"/>
      <c r="D459" s="1"/>
      <c r="E459" s="1"/>
      <c r="F459" s="1"/>
      <c r="G459" s="1"/>
      <c r="H459" s="1"/>
    </row>
    <row r="460" spans="1:8">
      <c r="A460" s="1"/>
      <c r="B460" s="1"/>
      <c r="C460" s="1"/>
      <c r="D460" s="1"/>
      <c r="E460" s="1"/>
      <c r="F460" s="1"/>
      <c r="G460" s="1"/>
      <c r="H460" s="1"/>
    </row>
    <row r="461" spans="1:8">
      <c r="A461" s="1"/>
      <c r="B461" s="1"/>
      <c r="C461" s="1"/>
      <c r="D461" s="1"/>
      <c r="E461" s="1"/>
      <c r="F461" s="1"/>
      <c r="G461" s="1"/>
      <c r="H461" s="1"/>
    </row>
    <row r="462" spans="1:8">
      <c r="A462" s="1"/>
      <c r="B462" s="1"/>
      <c r="C462" s="1"/>
      <c r="D462" s="1"/>
      <c r="E462" s="1"/>
      <c r="F462" s="1"/>
      <c r="G462" s="1"/>
      <c r="H462" s="1"/>
    </row>
    <row r="463" spans="1:8">
      <c r="A463" s="1"/>
      <c r="B463" s="1"/>
      <c r="C463" s="1"/>
      <c r="D463" s="1"/>
      <c r="E463" s="1"/>
      <c r="F463" s="1"/>
      <c r="G463" s="1"/>
      <c r="H463" s="1"/>
    </row>
    <row r="464" spans="1:8">
      <c r="A464" s="1"/>
      <c r="B464" s="1"/>
      <c r="C464" s="1"/>
      <c r="D464" s="1"/>
      <c r="E464" s="1"/>
      <c r="F464" s="1"/>
      <c r="G464" s="1"/>
      <c r="H464" s="1"/>
    </row>
    <row r="465" spans="1:8">
      <c r="A465" s="1"/>
      <c r="B465" s="1"/>
      <c r="C465" s="1"/>
      <c r="D465" s="1"/>
      <c r="E465" s="1"/>
      <c r="F465" s="1"/>
      <c r="G465" s="1"/>
      <c r="H465" s="1"/>
    </row>
    <row r="466" spans="1:8">
      <c r="A466" s="1"/>
      <c r="B466" s="1"/>
      <c r="C466" s="1"/>
      <c r="D466" s="1"/>
      <c r="E466" s="1"/>
      <c r="F466" s="1"/>
      <c r="G466" s="1"/>
      <c r="H466" s="1"/>
    </row>
    <row r="467" spans="1:8">
      <c r="A467" s="1"/>
      <c r="B467" s="1"/>
      <c r="C467" s="1"/>
      <c r="D467" s="1"/>
      <c r="E467" s="1"/>
      <c r="F467" s="1"/>
      <c r="G467" s="1"/>
      <c r="H467" s="1"/>
    </row>
    <row r="468" spans="1:8">
      <c r="A468" s="1"/>
      <c r="B468" s="1"/>
      <c r="C468" s="1"/>
      <c r="D468" s="1"/>
      <c r="E468" s="1"/>
      <c r="F468" s="1"/>
      <c r="G468" s="1"/>
      <c r="H468" s="1"/>
    </row>
    <row r="469" spans="1:8">
      <c r="A469" s="1"/>
      <c r="B469" s="1"/>
      <c r="C469" s="1"/>
      <c r="D469" s="1"/>
      <c r="E469" s="1"/>
      <c r="F469" s="1"/>
      <c r="G469" s="1"/>
      <c r="H469" s="1"/>
    </row>
    <row r="470" spans="1:8">
      <c r="A470" s="1"/>
      <c r="B470" s="1"/>
      <c r="C470" s="1"/>
      <c r="D470" s="1"/>
      <c r="E470" s="1"/>
      <c r="F470" s="1"/>
      <c r="G470" s="1"/>
      <c r="H470" s="1"/>
    </row>
    <row r="471" spans="1:8">
      <c r="A471" s="1"/>
      <c r="B471" s="1"/>
      <c r="C471" s="1"/>
      <c r="D471" s="1"/>
      <c r="E471" s="1"/>
      <c r="F471" s="1"/>
      <c r="G471" s="1"/>
      <c r="H471" s="1"/>
    </row>
    <row r="472" spans="1:8">
      <c r="A472" s="1"/>
      <c r="B472" s="1"/>
      <c r="C472" s="1"/>
      <c r="D472" s="1"/>
      <c r="E472" s="1"/>
      <c r="F472" s="1"/>
      <c r="G472" s="1"/>
      <c r="H472" s="1"/>
    </row>
    <row r="473" spans="1:8">
      <c r="A473" s="1"/>
      <c r="B473" s="1"/>
      <c r="C473" s="1"/>
      <c r="D473" s="1"/>
      <c r="E473" s="1"/>
      <c r="F473" s="1"/>
      <c r="G473" s="1"/>
      <c r="H473" s="1"/>
    </row>
    <row r="474" spans="1:8">
      <c r="A474" s="1"/>
      <c r="B474" s="1"/>
      <c r="C474" s="1"/>
      <c r="D474" s="1"/>
      <c r="E474" s="1"/>
      <c r="F474" s="1"/>
      <c r="G474" s="1"/>
      <c r="H474" s="1"/>
    </row>
    <row r="475" spans="1:8">
      <c r="A475" s="1"/>
      <c r="B475" s="1"/>
      <c r="C475" s="1"/>
      <c r="D475" s="1"/>
      <c r="E475" s="1"/>
      <c r="F475" s="1"/>
      <c r="G475" s="1"/>
      <c r="H475" s="1"/>
    </row>
    <row r="476" spans="1:8">
      <c r="A476" s="1"/>
      <c r="B476" s="1"/>
      <c r="C476" s="1"/>
      <c r="D476" s="1"/>
      <c r="E476" s="1"/>
      <c r="F476" s="1"/>
      <c r="G476" s="1"/>
      <c r="H476" s="1"/>
    </row>
    <row r="477" spans="1:8">
      <c r="A477" s="1"/>
      <c r="B477" s="1"/>
      <c r="C477" s="1"/>
      <c r="D477" s="1"/>
      <c r="E477" s="1"/>
      <c r="F477" s="1"/>
      <c r="G477" s="1"/>
      <c r="H477" s="1"/>
    </row>
    <row r="478" spans="1:8">
      <c r="A478" s="1"/>
      <c r="B478" s="1"/>
      <c r="C478" s="1"/>
      <c r="D478" s="1"/>
      <c r="E478" s="1"/>
      <c r="F478" s="1"/>
      <c r="G478" s="1"/>
      <c r="H478" s="1"/>
    </row>
    <row r="479" spans="1:8">
      <c r="A479" s="1"/>
      <c r="B479" s="1"/>
      <c r="C479" s="1"/>
      <c r="D479" s="1"/>
      <c r="E479" s="1"/>
      <c r="F479" s="1"/>
      <c r="G479" s="1"/>
      <c r="H479" s="1"/>
    </row>
    <row r="480" spans="1:8">
      <c r="A480" s="1"/>
      <c r="B480" s="1"/>
      <c r="C480" s="1"/>
      <c r="D480" s="1"/>
      <c r="E480" s="1"/>
      <c r="F480" s="1"/>
      <c r="G480" s="1"/>
      <c r="H480" s="1"/>
    </row>
    <row r="481" spans="1:8">
      <c r="A481" s="1"/>
      <c r="B481" s="1"/>
      <c r="C481" s="1"/>
      <c r="D481" s="1"/>
      <c r="E481" s="1"/>
      <c r="F481" s="1"/>
      <c r="G481" s="1"/>
      <c r="H481" s="1"/>
    </row>
    <row r="482" spans="1:8">
      <c r="A482" s="1"/>
      <c r="B482" s="1"/>
      <c r="C482" s="1"/>
      <c r="D482" s="1"/>
      <c r="E482" s="1"/>
      <c r="F482" s="1"/>
      <c r="G482" s="1"/>
      <c r="H482" s="1"/>
    </row>
    <row r="483" spans="1:8">
      <c r="A483" s="1"/>
      <c r="B483" s="1"/>
      <c r="C483" s="1"/>
      <c r="D483" s="1"/>
      <c r="E483" s="1"/>
      <c r="F483" s="1"/>
      <c r="G483" s="1"/>
      <c r="H483" s="1"/>
    </row>
    <row r="484" spans="1:8">
      <c r="A484" s="1"/>
      <c r="B484" s="1"/>
      <c r="C484" s="1"/>
      <c r="D484" s="1"/>
      <c r="E484" s="1"/>
      <c r="F484" s="1"/>
      <c r="G484" s="1"/>
      <c r="H484" s="1"/>
    </row>
    <row r="485" spans="1:8">
      <c r="A485" s="1"/>
      <c r="B485" s="1"/>
      <c r="C485" s="1"/>
      <c r="D485" s="1"/>
      <c r="E485" s="1"/>
      <c r="F485" s="1"/>
      <c r="G485" s="1"/>
      <c r="H485" s="1"/>
    </row>
    <row r="486" spans="1:8">
      <c r="A486" s="1"/>
      <c r="B486" s="1"/>
      <c r="C486" s="1"/>
      <c r="D486" s="1"/>
      <c r="E486" s="1"/>
      <c r="F486" s="1"/>
      <c r="G486" s="1"/>
      <c r="H486" s="1"/>
    </row>
    <row r="487" spans="1:8">
      <c r="A487" s="1"/>
      <c r="B487" s="1"/>
      <c r="C487" s="1"/>
      <c r="D487" s="1"/>
      <c r="E487" s="1"/>
      <c r="F487" s="1"/>
      <c r="G487" s="1"/>
      <c r="H487" s="1"/>
    </row>
    <row r="488" spans="1:8">
      <c r="A488" s="1"/>
      <c r="B488" s="1"/>
      <c r="C488" s="1"/>
      <c r="D488" s="1"/>
      <c r="E488" s="1"/>
      <c r="F488" s="1"/>
      <c r="G488" s="1"/>
      <c r="H488" s="1"/>
    </row>
    <row r="489" spans="1:8">
      <c r="A489" s="1"/>
      <c r="B489" s="1"/>
      <c r="C489" s="1"/>
      <c r="D489" s="1"/>
      <c r="E489" s="1"/>
      <c r="F489" s="1"/>
      <c r="G489" s="1"/>
      <c r="H489" s="1"/>
    </row>
    <row r="490" spans="1:8">
      <c r="A490" s="1"/>
      <c r="B490" s="1"/>
      <c r="C490" s="1"/>
      <c r="D490" s="1"/>
      <c r="E490" s="1"/>
      <c r="F490" s="1"/>
      <c r="G490" s="1"/>
      <c r="H490" s="1"/>
    </row>
    <row r="491" spans="1:8">
      <c r="A491" s="1"/>
      <c r="B491" s="1"/>
      <c r="C491" s="1"/>
      <c r="D491" s="1"/>
      <c r="E491" s="1"/>
      <c r="F491" s="1"/>
      <c r="G491" s="1"/>
      <c r="H491" s="1"/>
    </row>
    <row r="492" spans="1:8">
      <c r="A492" s="1"/>
      <c r="B492" s="1"/>
      <c r="C492" s="1"/>
      <c r="D492" s="1"/>
      <c r="E492" s="1"/>
      <c r="F492" s="1"/>
      <c r="G492" s="1"/>
      <c r="H492" s="1"/>
    </row>
    <row r="493" spans="1:8">
      <c r="A493" s="1"/>
      <c r="B493" s="1"/>
      <c r="C493" s="1"/>
      <c r="D493" s="1"/>
      <c r="E493" s="1"/>
      <c r="F493" s="1"/>
      <c r="G493" s="1"/>
      <c r="H493" s="1"/>
    </row>
    <row r="494" spans="1:8">
      <c r="A494" s="1"/>
      <c r="B494" s="1"/>
      <c r="C494" s="1"/>
      <c r="D494" s="1"/>
      <c r="E494" s="1"/>
      <c r="F494" s="1"/>
      <c r="G494" s="1"/>
      <c r="H494" s="1"/>
    </row>
    <row r="495" spans="1:8">
      <c r="A495" s="1"/>
      <c r="B495" s="1"/>
      <c r="C495" s="1"/>
      <c r="D495" s="1"/>
      <c r="E495" s="1"/>
      <c r="F495" s="1"/>
      <c r="G495" s="1"/>
      <c r="H495" s="1"/>
    </row>
    <row r="496" spans="1:8">
      <c r="A496" s="1"/>
      <c r="B496" s="1"/>
      <c r="C496" s="1"/>
      <c r="D496" s="1"/>
      <c r="E496" s="1"/>
      <c r="F496" s="1"/>
      <c r="G496" s="1"/>
      <c r="H496" s="1"/>
    </row>
    <row r="497" spans="1:8">
      <c r="A497" s="1"/>
      <c r="B497" s="1"/>
      <c r="C497" s="1"/>
      <c r="D497" s="1"/>
      <c r="E497" s="1"/>
      <c r="F497" s="1"/>
      <c r="G497" s="1"/>
      <c r="H497" s="1"/>
    </row>
    <row r="498" spans="1:8">
      <c r="A498" s="1"/>
      <c r="B498" s="1"/>
      <c r="C498" s="1"/>
      <c r="D498" s="1"/>
      <c r="E498" s="1"/>
      <c r="F498" s="1"/>
      <c r="G498" s="1"/>
      <c r="H498" s="1"/>
    </row>
    <row r="499" spans="1:8">
      <c r="A499" s="1"/>
      <c r="B499" s="1"/>
      <c r="C499" s="1"/>
      <c r="D499" s="1"/>
      <c r="E499" s="1"/>
      <c r="F499" s="1"/>
      <c r="G499" s="1"/>
      <c r="H499" s="1"/>
    </row>
    <row r="500" spans="1:8">
      <c r="A500" s="1"/>
      <c r="B500" s="1"/>
      <c r="C500" s="1"/>
      <c r="D500" s="1"/>
      <c r="E500" s="1"/>
      <c r="F500" s="1"/>
      <c r="G500" s="1"/>
      <c r="H500" s="1"/>
    </row>
    <row r="501" spans="1:8">
      <c r="A501" s="1"/>
      <c r="B501" s="1"/>
      <c r="C501" s="1"/>
      <c r="D501" s="1"/>
      <c r="E501" s="1"/>
      <c r="F501" s="1"/>
      <c r="G501" s="1"/>
      <c r="H501" s="1"/>
    </row>
    <row r="502" spans="1:8">
      <c r="A502" s="1"/>
      <c r="B502" s="1"/>
      <c r="C502" s="1"/>
      <c r="D502" s="1"/>
      <c r="E502" s="1"/>
      <c r="F502" s="1"/>
      <c r="G502" s="1"/>
      <c r="H502" s="1"/>
    </row>
    <row r="503" spans="1:8">
      <c r="A503" s="1"/>
      <c r="B503" s="1"/>
      <c r="C503" s="1"/>
      <c r="D503" s="1"/>
      <c r="E503" s="1"/>
      <c r="F503" s="1"/>
      <c r="G503" s="1"/>
      <c r="H503" s="1"/>
    </row>
    <row r="504" spans="1:8">
      <c r="A504" s="1"/>
      <c r="B504" s="1"/>
      <c r="C504" s="1"/>
      <c r="D504" s="1"/>
      <c r="E504" s="1"/>
      <c r="F504" s="1"/>
      <c r="G504" s="1"/>
      <c r="H504" s="1"/>
    </row>
    <row r="505" spans="1:8">
      <c r="A505" s="1"/>
      <c r="B505" s="1"/>
      <c r="C505" s="1"/>
      <c r="D505" s="1"/>
      <c r="E505" s="1"/>
      <c r="F505" s="1"/>
      <c r="G505" s="1"/>
      <c r="H505" s="1"/>
    </row>
    <row r="506" spans="1:8">
      <c r="A506" s="1"/>
      <c r="B506" s="1"/>
      <c r="C506" s="1"/>
      <c r="D506" s="1"/>
      <c r="E506" s="1"/>
      <c r="F506" s="1"/>
      <c r="G506" s="1"/>
      <c r="H506" s="1"/>
    </row>
    <row r="507" spans="1:8">
      <c r="A507" s="1"/>
      <c r="B507" s="1"/>
      <c r="C507" s="1"/>
      <c r="D507" s="1"/>
      <c r="E507" s="1"/>
      <c r="F507" s="1"/>
      <c r="G507" s="1"/>
      <c r="H507" s="1"/>
    </row>
    <row r="508" spans="1:8">
      <c r="A508" s="1"/>
      <c r="B508" s="1"/>
      <c r="C508" s="1"/>
      <c r="D508" s="1"/>
      <c r="E508" s="1"/>
      <c r="F508" s="1"/>
      <c r="G508" s="1"/>
      <c r="H508" s="1"/>
    </row>
    <row r="509" spans="1:8">
      <c r="A509" s="1"/>
      <c r="B509" s="1"/>
      <c r="C509" s="1"/>
      <c r="D509" s="1"/>
      <c r="E509" s="1"/>
      <c r="F509" s="1"/>
      <c r="G509" s="1"/>
      <c r="H509" s="1"/>
    </row>
    <row r="510" spans="1:8">
      <c r="A510" s="1"/>
      <c r="B510" s="1"/>
      <c r="C510" s="1"/>
      <c r="D510" s="1"/>
      <c r="E510" s="1"/>
      <c r="F510" s="1"/>
      <c r="G510" s="1"/>
      <c r="H510" s="1"/>
    </row>
    <row r="511" spans="1:8">
      <c r="A511" s="1"/>
      <c r="B511" s="1"/>
      <c r="C511" s="1"/>
      <c r="D511" s="1"/>
      <c r="E511" s="1"/>
      <c r="F511" s="1"/>
      <c r="G511" s="1"/>
      <c r="H511" s="1"/>
    </row>
    <row r="512" spans="1:8">
      <c r="A512" s="1"/>
      <c r="B512" s="1"/>
      <c r="C512" s="1"/>
      <c r="D512" s="1"/>
      <c r="E512" s="1"/>
      <c r="F512" s="1"/>
      <c r="G512" s="1"/>
      <c r="H512" s="1"/>
    </row>
    <row r="513" spans="1:8">
      <c r="A513" s="1"/>
      <c r="B513" s="1"/>
      <c r="C513" s="1"/>
      <c r="D513" s="1"/>
      <c r="E513" s="1"/>
      <c r="F513" s="1"/>
      <c r="G513" s="1"/>
      <c r="H513" s="1"/>
    </row>
    <row r="514" spans="1:8">
      <c r="A514" s="1"/>
      <c r="B514" s="1"/>
      <c r="C514" s="1"/>
      <c r="D514" s="1"/>
      <c r="E514" s="1"/>
      <c r="F514" s="1"/>
      <c r="G514" s="1"/>
      <c r="H514" s="1"/>
    </row>
    <row r="515" spans="1:8">
      <c r="A515" s="1"/>
      <c r="B515" s="1"/>
      <c r="C515" s="1"/>
      <c r="D515" s="1"/>
      <c r="E515" s="1"/>
      <c r="F515" s="1"/>
      <c r="G515" s="1"/>
      <c r="H515" s="1"/>
    </row>
    <row r="516" spans="1:8">
      <c r="A516" s="1"/>
      <c r="B516" s="1"/>
      <c r="C516" s="1"/>
      <c r="D516" s="1"/>
      <c r="E516" s="1"/>
      <c r="F516" s="1"/>
      <c r="G516" s="1"/>
      <c r="H516" s="1"/>
    </row>
    <row r="517" spans="1:8">
      <c r="A517" s="1"/>
      <c r="B517" s="1"/>
      <c r="C517" s="1"/>
      <c r="D517" s="1"/>
      <c r="E517" s="1"/>
      <c r="F517" s="1"/>
      <c r="G517" s="1"/>
      <c r="H517" s="1"/>
    </row>
    <row r="518" spans="1:8">
      <c r="A518" s="1"/>
      <c r="B518" s="1"/>
      <c r="C518" s="1"/>
      <c r="D518" s="1"/>
      <c r="E518" s="1"/>
      <c r="F518" s="1"/>
      <c r="G518" s="1"/>
      <c r="H518" s="1"/>
    </row>
    <row r="519" spans="1:8">
      <c r="A519" s="1"/>
      <c r="B519" s="1"/>
      <c r="C519" s="1"/>
      <c r="D519" s="1"/>
      <c r="E519" s="1"/>
      <c r="F519" s="1"/>
      <c r="G519" s="1"/>
      <c r="H519" s="1"/>
    </row>
    <row r="520" spans="1:8">
      <c r="A520" s="1"/>
      <c r="B520" s="1"/>
      <c r="C520" s="1"/>
      <c r="D520" s="1"/>
      <c r="E520" s="1"/>
      <c r="F520" s="1"/>
      <c r="G520" s="1"/>
      <c r="H520" s="1"/>
    </row>
    <row r="521" spans="1:8">
      <c r="A521" s="1"/>
      <c r="B521" s="1"/>
      <c r="C521" s="1"/>
      <c r="D521" s="1"/>
      <c r="E521" s="1"/>
      <c r="F521" s="1"/>
      <c r="G521" s="1"/>
      <c r="H521" s="1"/>
    </row>
    <row r="522" spans="1:8">
      <c r="A522" s="1"/>
      <c r="B522" s="1"/>
      <c r="C522" s="1"/>
      <c r="D522" s="1"/>
      <c r="E522" s="1"/>
      <c r="F522" s="1"/>
      <c r="G522" s="1"/>
      <c r="H522" s="1"/>
    </row>
    <row r="523" spans="1:8">
      <c r="A523" s="1"/>
      <c r="B523" s="1"/>
      <c r="C523" s="1"/>
      <c r="D523" s="1"/>
      <c r="E523" s="1"/>
      <c r="F523" s="1"/>
      <c r="G523" s="1"/>
      <c r="H523" s="1"/>
    </row>
    <row r="524" spans="1:8">
      <c r="A524" s="1"/>
      <c r="B524" s="1"/>
      <c r="C524" s="1"/>
      <c r="D524" s="1"/>
      <c r="E524" s="1"/>
      <c r="F524" s="1"/>
      <c r="G524" s="1"/>
      <c r="H524" s="1"/>
    </row>
    <row r="525" spans="1:8">
      <c r="A525" s="1"/>
      <c r="B525" s="1"/>
      <c r="C525" s="1"/>
      <c r="D525" s="1"/>
      <c r="E525" s="1"/>
      <c r="F525" s="1"/>
      <c r="G525" s="1"/>
      <c r="H525" s="1"/>
    </row>
    <row r="526" spans="1:8">
      <c r="A526" s="1"/>
      <c r="B526" s="1"/>
      <c r="C526" s="1"/>
      <c r="D526" s="1"/>
      <c r="E526" s="1"/>
      <c r="F526" s="1"/>
      <c r="G526" s="1"/>
      <c r="H526" s="1"/>
    </row>
    <row r="527" spans="1:8">
      <c r="A527" s="1"/>
      <c r="B527" s="1"/>
      <c r="C527" s="1"/>
      <c r="D527" s="1"/>
      <c r="E527" s="1"/>
      <c r="F527" s="1"/>
      <c r="G527" s="1"/>
      <c r="H527" s="1"/>
    </row>
    <row r="528" spans="1:8">
      <c r="A528" s="1"/>
      <c r="B528" s="1"/>
      <c r="C528" s="1"/>
      <c r="D528" s="1"/>
      <c r="E528" s="1"/>
      <c r="F528" s="1"/>
      <c r="G528" s="1"/>
      <c r="H528" s="1"/>
    </row>
    <row r="529" spans="1:8">
      <c r="A529" s="1"/>
      <c r="B529" s="1"/>
      <c r="C529" s="1"/>
      <c r="D529" s="1"/>
      <c r="E529" s="1"/>
      <c r="F529" s="1"/>
      <c r="G529" s="1"/>
      <c r="H529" s="1"/>
    </row>
    <row r="530" spans="1:8">
      <c r="A530" s="1"/>
      <c r="B530" s="1"/>
      <c r="C530" s="1"/>
      <c r="D530" s="1"/>
      <c r="E530" s="1"/>
      <c r="F530" s="1"/>
      <c r="G530" s="1"/>
      <c r="H530" s="1"/>
    </row>
    <row r="531" spans="1:8">
      <c r="A531" s="1"/>
      <c r="B531" s="1"/>
      <c r="C531" s="1"/>
      <c r="D531" s="1"/>
      <c r="E531" s="1"/>
      <c r="F531" s="1"/>
      <c r="G531" s="1"/>
      <c r="H531" s="1"/>
    </row>
    <row r="532" spans="1:8">
      <c r="A532" s="1"/>
      <c r="B532" s="1"/>
      <c r="C532" s="1"/>
      <c r="D532" s="1"/>
      <c r="E532" s="1"/>
      <c r="F532" s="1"/>
      <c r="G532" s="1"/>
      <c r="H532" s="1"/>
    </row>
    <row r="533" spans="1:8">
      <c r="A533" s="1"/>
      <c r="B533" s="1"/>
      <c r="C533" s="1"/>
      <c r="D533" s="1"/>
      <c r="E533" s="1"/>
      <c r="F533" s="1"/>
      <c r="G533" s="1"/>
      <c r="H533" s="1"/>
    </row>
    <row r="534" spans="1:8">
      <c r="A534" s="1"/>
      <c r="B534" s="1"/>
      <c r="C534" s="1"/>
      <c r="D534" s="1"/>
      <c r="E534" s="1"/>
      <c r="F534" s="1"/>
      <c r="G534" s="1"/>
      <c r="H534" s="1"/>
    </row>
    <row r="535" spans="1:8">
      <c r="A535" s="1"/>
      <c r="B535" s="1"/>
      <c r="C535" s="1"/>
      <c r="D535" s="1"/>
      <c r="E535" s="1"/>
      <c r="F535" s="1"/>
      <c r="G535" s="1"/>
      <c r="H535" s="1"/>
    </row>
    <row r="536" spans="1:8">
      <c r="A536" s="1"/>
      <c r="B536" s="1"/>
      <c r="C536" s="1"/>
      <c r="D536" s="1"/>
      <c r="E536" s="1"/>
      <c r="F536" s="1"/>
      <c r="G536" s="1"/>
      <c r="H536" s="1"/>
    </row>
    <row r="537" spans="1:8">
      <c r="A537" s="1"/>
      <c r="B537" s="1"/>
      <c r="C537" s="1"/>
      <c r="D537" s="1"/>
      <c r="E537" s="1"/>
      <c r="F537" s="1"/>
      <c r="G537" s="1"/>
      <c r="H537" s="1"/>
    </row>
    <row r="538" spans="1:8">
      <c r="A538" s="1"/>
      <c r="B538" s="1"/>
      <c r="C538" s="1"/>
      <c r="D538" s="1"/>
      <c r="E538" s="1"/>
      <c r="F538" s="1"/>
      <c r="G538" s="1"/>
      <c r="H538" s="1"/>
    </row>
    <row r="539" spans="1:8">
      <c r="A539" s="1"/>
      <c r="B539" s="1"/>
      <c r="C539" s="1"/>
      <c r="D539" s="1"/>
      <c r="E539" s="1"/>
      <c r="F539" s="1"/>
      <c r="G539" s="1"/>
      <c r="H539" s="1"/>
    </row>
    <row r="540" spans="1:8">
      <c r="A540" s="1"/>
      <c r="B540" s="1"/>
      <c r="C540" s="1"/>
      <c r="D540" s="1"/>
      <c r="E540" s="1"/>
      <c r="F540" s="1"/>
      <c r="G540" s="1"/>
      <c r="H540" s="1"/>
    </row>
    <row r="541" spans="1:8">
      <c r="A541" s="1"/>
      <c r="B541" s="1"/>
      <c r="C541" s="1"/>
      <c r="D541" s="1"/>
      <c r="E541" s="1"/>
      <c r="F541" s="1"/>
      <c r="G541" s="1"/>
      <c r="H541" s="1"/>
    </row>
    <row r="542" spans="1:8">
      <c r="A542" s="1"/>
      <c r="B542" s="1"/>
      <c r="C542" s="1"/>
      <c r="D542" s="1"/>
      <c r="E542" s="1"/>
      <c r="F542" s="1"/>
      <c r="G542" s="1"/>
      <c r="H542" s="1"/>
    </row>
    <row r="543" spans="1:8">
      <c r="A543" s="1"/>
      <c r="B543" s="1"/>
      <c r="C543" s="1"/>
      <c r="D543" s="1"/>
      <c r="E543" s="1"/>
      <c r="F543" s="1"/>
      <c r="G543" s="1"/>
      <c r="H543" s="1"/>
    </row>
    <row r="544" spans="1:8">
      <c r="A544" s="1"/>
      <c r="B544" s="1"/>
      <c r="C544" s="1"/>
      <c r="D544" s="1"/>
      <c r="E544" s="1"/>
      <c r="F544" s="1"/>
      <c r="G544" s="1"/>
      <c r="H544" s="1"/>
    </row>
    <row r="545" spans="1:8">
      <c r="A545" s="1"/>
      <c r="B545" s="1"/>
      <c r="C545" s="1"/>
      <c r="D545" s="1"/>
      <c r="E545" s="1"/>
      <c r="F545" s="1"/>
      <c r="G545" s="1"/>
      <c r="H545" s="1"/>
    </row>
    <row r="546" spans="1:8">
      <c r="A546" s="1"/>
      <c r="B546" s="1"/>
      <c r="C546" s="1"/>
      <c r="D546" s="1"/>
      <c r="E546" s="1"/>
      <c r="F546" s="1"/>
      <c r="G546" s="1"/>
      <c r="H546" s="1"/>
    </row>
    <row r="547" spans="1:8">
      <c r="A547" s="1"/>
      <c r="B547" s="1"/>
      <c r="C547" s="1"/>
      <c r="D547" s="1"/>
      <c r="E547" s="1"/>
      <c r="F547" s="1"/>
      <c r="G547" s="1"/>
      <c r="H547" s="1"/>
    </row>
    <row r="548" spans="1:8">
      <c r="A548" s="1"/>
      <c r="B548" s="1"/>
      <c r="C548" s="1"/>
      <c r="D548" s="1"/>
      <c r="E548" s="1"/>
      <c r="F548" s="1"/>
      <c r="G548" s="1"/>
      <c r="H548" s="1"/>
    </row>
    <row r="549" spans="1:8">
      <c r="A549" s="1"/>
      <c r="B549" s="1"/>
      <c r="C549" s="1"/>
      <c r="D549" s="1"/>
      <c r="E549" s="1"/>
      <c r="F549" s="1"/>
      <c r="G549" s="1"/>
      <c r="H549" s="1"/>
    </row>
    <row r="550" spans="1:8">
      <c r="A550" s="1"/>
      <c r="B550" s="1"/>
      <c r="C550" s="1"/>
      <c r="D550" s="1"/>
      <c r="E550" s="1"/>
      <c r="F550" s="1"/>
      <c r="G550" s="1"/>
      <c r="H550" s="1"/>
    </row>
    <row r="551" spans="1:8">
      <c r="A551" s="1"/>
      <c r="B551" s="1"/>
      <c r="C551" s="1"/>
      <c r="D551" s="1"/>
      <c r="E551" s="1"/>
      <c r="F551" s="1"/>
      <c r="G551" s="1"/>
      <c r="H551" s="1"/>
    </row>
    <row r="552" spans="1:8">
      <c r="A552" s="1"/>
      <c r="B552" s="1"/>
      <c r="C552" s="1"/>
      <c r="D552" s="1"/>
      <c r="E552" s="1"/>
      <c r="F552" s="1"/>
      <c r="G552" s="1"/>
      <c r="H552" s="1"/>
    </row>
    <row r="553" spans="1:8">
      <c r="A553" s="1"/>
      <c r="B553" s="1"/>
      <c r="C553" s="1"/>
      <c r="D553" s="1"/>
      <c r="E553" s="1"/>
      <c r="F553" s="1"/>
      <c r="G553" s="1"/>
      <c r="H553" s="1"/>
    </row>
    <row r="554" spans="1:8">
      <c r="A554" s="1"/>
      <c r="B554" s="1"/>
      <c r="C554" s="1"/>
      <c r="D554" s="1"/>
      <c r="E554" s="1"/>
      <c r="F554" s="1"/>
      <c r="G554" s="1"/>
      <c r="H554" s="1"/>
    </row>
    <row r="555" spans="1:8">
      <c r="A555" s="1"/>
      <c r="B555" s="1"/>
      <c r="C555" s="1"/>
      <c r="D555" s="1"/>
      <c r="E555" s="1"/>
      <c r="F555" s="1"/>
      <c r="G555" s="1"/>
      <c r="H555" s="1"/>
    </row>
    <row r="556" spans="1:8">
      <c r="A556" s="1"/>
      <c r="B556" s="1"/>
      <c r="C556" s="1"/>
      <c r="D556" s="1"/>
      <c r="E556" s="1"/>
      <c r="F556" s="1"/>
      <c r="G556" s="1"/>
      <c r="H556" s="1"/>
    </row>
    <row r="557" spans="1:8">
      <c r="A557" s="1"/>
      <c r="B557" s="1"/>
      <c r="C557" s="1"/>
      <c r="D557" s="1"/>
      <c r="E557" s="1"/>
      <c r="F557" s="1"/>
      <c r="G557" s="1"/>
      <c r="H557" s="1"/>
    </row>
    <row r="558" spans="1:8">
      <c r="A558" s="1"/>
      <c r="B558" s="1"/>
      <c r="C558" s="1"/>
      <c r="D558" s="1"/>
      <c r="E558" s="1"/>
      <c r="F558" s="1"/>
      <c r="G558" s="1"/>
      <c r="H558" s="1"/>
    </row>
    <row r="559" spans="1:8">
      <c r="A559" s="1"/>
      <c r="B559" s="1"/>
      <c r="C559" s="1"/>
      <c r="D559" s="1"/>
      <c r="E559" s="1"/>
      <c r="F559" s="1"/>
      <c r="G559" s="1"/>
      <c r="H559" s="1"/>
    </row>
    <row r="560" spans="1:8">
      <c r="A560" s="1"/>
      <c r="B560" s="1"/>
      <c r="C560" s="1"/>
      <c r="D560" s="1"/>
      <c r="E560" s="1"/>
      <c r="F560" s="1"/>
      <c r="G560" s="1"/>
      <c r="H560" s="1"/>
    </row>
    <row r="561" spans="1:8">
      <c r="A561" s="1"/>
      <c r="B561" s="1"/>
      <c r="C561" s="1"/>
      <c r="D561" s="1"/>
      <c r="E561" s="1"/>
      <c r="F561" s="1"/>
      <c r="G561" s="1"/>
      <c r="H561" s="1"/>
    </row>
    <row r="562" spans="1:8">
      <c r="A562" s="1"/>
      <c r="B562" s="1"/>
      <c r="C562" s="1"/>
      <c r="D562" s="1"/>
      <c r="E562" s="1"/>
      <c r="F562" s="1"/>
      <c r="G562" s="1"/>
      <c r="H562" s="1"/>
    </row>
    <row r="563" spans="1:8">
      <c r="A563" s="1"/>
      <c r="B563" s="1"/>
      <c r="C563" s="1"/>
      <c r="D563" s="1"/>
      <c r="E563" s="1"/>
      <c r="F563" s="1"/>
      <c r="G563" s="1"/>
      <c r="H563" s="1"/>
    </row>
    <row r="564" spans="1:8">
      <c r="A564" s="1"/>
      <c r="B564" s="1"/>
      <c r="C564" s="1"/>
      <c r="D564" s="1"/>
      <c r="E564" s="1"/>
      <c r="F564" s="1"/>
      <c r="G564" s="1"/>
      <c r="H564" s="1"/>
    </row>
    <row r="565" spans="1:8">
      <c r="A565" s="1"/>
      <c r="B565" s="1"/>
      <c r="C565" s="1"/>
      <c r="D565" s="1"/>
      <c r="E565" s="1"/>
      <c r="F565" s="1"/>
      <c r="G565" s="1"/>
      <c r="H565" s="1"/>
    </row>
    <row r="566" spans="1:8">
      <c r="A566" s="1"/>
      <c r="B566" s="1"/>
      <c r="C566" s="1"/>
      <c r="D566" s="1"/>
      <c r="E566" s="1"/>
      <c r="F566" s="1"/>
      <c r="G566" s="1"/>
      <c r="H566" s="1"/>
    </row>
    <row r="567" spans="1:8">
      <c r="A567" s="1"/>
      <c r="B567" s="1"/>
      <c r="C567" s="1"/>
      <c r="D567" s="1"/>
      <c r="E567" s="1"/>
      <c r="F567" s="1"/>
      <c r="G567" s="1"/>
      <c r="H567" s="1"/>
    </row>
    <row r="568" spans="1:8">
      <c r="A568" s="1"/>
      <c r="B568" s="1"/>
      <c r="C568" s="1"/>
      <c r="D568" s="1"/>
      <c r="E568" s="1"/>
      <c r="F568" s="1"/>
      <c r="G568" s="1"/>
      <c r="H568" s="1"/>
    </row>
    <row r="569" spans="1:8">
      <c r="A569" s="1"/>
      <c r="B569" s="1"/>
      <c r="C569" s="1"/>
      <c r="D569" s="1"/>
      <c r="E569" s="1"/>
      <c r="F569" s="1"/>
      <c r="G569" s="1"/>
      <c r="H569" s="1"/>
    </row>
    <row r="570" spans="1:8">
      <c r="A570" s="1"/>
      <c r="B570" s="1"/>
      <c r="C570" s="1"/>
      <c r="D570" s="1"/>
      <c r="E570" s="1"/>
      <c r="F570" s="1"/>
      <c r="G570" s="1"/>
      <c r="H570" s="1"/>
    </row>
    <row r="571" spans="1:8">
      <c r="A571" s="1"/>
      <c r="B571" s="1"/>
      <c r="C571" s="1"/>
      <c r="D571" s="1"/>
      <c r="E571" s="1"/>
      <c r="F571" s="1"/>
      <c r="G571" s="1"/>
      <c r="H571" s="1"/>
    </row>
    <row r="572" spans="1:8">
      <c r="A572" s="1"/>
      <c r="B572" s="1"/>
      <c r="C572" s="1"/>
      <c r="D572" s="1"/>
      <c r="E572" s="1"/>
      <c r="F572" s="1"/>
      <c r="G572" s="1"/>
      <c r="H572" s="1"/>
    </row>
    <row r="573" spans="1:8">
      <c r="A573" s="1"/>
      <c r="B573" s="1"/>
      <c r="C573" s="1"/>
      <c r="D573" s="1"/>
      <c r="E573" s="1"/>
      <c r="F573" s="1"/>
      <c r="G573" s="1"/>
      <c r="H573" s="1"/>
    </row>
    <row r="574" spans="1:8">
      <c r="A574" s="1"/>
      <c r="B574" s="1"/>
      <c r="C574" s="1"/>
      <c r="D574" s="1"/>
      <c r="E574" s="1"/>
      <c r="F574" s="1"/>
      <c r="G574" s="1"/>
      <c r="H574" s="1"/>
    </row>
    <row r="575" spans="1:8">
      <c r="A575" s="1"/>
      <c r="B575" s="1"/>
      <c r="C575" s="1"/>
      <c r="D575" s="1"/>
      <c r="E575" s="1"/>
      <c r="F575" s="1"/>
      <c r="G575" s="1"/>
      <c r="H575" s="1"/>
    </row>
    <row r="576" spans="1:8">
      <c r="A576" s="1"/>
      <c r="B576" s="1"/>
      <c r="C576" s="1"/>
      <c r="D576" s="1"/>
      <c r="E576" s="1"/>
      <c r="F576" s="1"/>
      <c r="G576" s="1"/>
      <c r="H576" s="1"/>
    </row>
    <row r="577" spans="1:8">
      <c r="A577" s="1"/>
      <c r="B577" s="1"/>
      <c r="C577" s="1"/>
      <c r="D577" s="1"/>
      <c r="E577" s="1"/>
      <c r="F577" s="1"/>
      <c r="G577" s="1"/>
      <c r="H577" s="1"/>
    </row>
    <row r="578" spans="1:8">
      <c r="A578" s="1"/>
      <c r="B578" s="1"/>
      <c r="C578" s="1"/>
      <c r="D578" s="1"/>
      <c r="E578" s="1"/>
      <c r="F578" s="1"/>
      <c r="G578" s="1"/>
      <c r="H578" s="1"/>
    </row>
    <row r="579" spans="1:8">
      <c r="A579" s="1"/>
      <c r="B579" s="1"/>
      <c r="C579" s="1"/>
      <c r="D579" s="1"/>
      <c r="E579" s="1"/>
      <c r="F579" s="1"/>
      <c r="G579" s="1"/>
      <c r="H579" s="1"/>
    </row>
    <row r="580" spans="1:8">
      <c r="A580" s="1"/>
      <c r="B580" s="1"/>
      <c r="C580" s="1"/>
      <c r="D580" s="1"/>
      <c r="E580" s="1"/>
      <c r="F580" s="1"/>
      <c r="G580" s="1"/>
      <c r="H580" s="1"/>
    </row>
    <row r="581" spans="1:8">
      <c r="A581" s="1"/>
      <c r="B581" s="1"/>
      <c r="C581" s="1"/>
      <c r="D581" s="1"/>
      <c r="E581" s="1"/>
      <c r="F581" s="1"/>
      <c r="G581" s="1"/>
      <c r="H581" s="1"/>
    </row>
    <row r="582" spans="1:8">
      <c r="A582" s="1"/>
      <c r="B582" s="1"/>
      <c r="C582" s="1"/>
      <c r="D582" s="1"/>
      <c r="E582" s="1"/>
      <c r="F582" s="1"/>
      <c r="G582" s="1"/>
      <c r="H582" s="1"/>
    </row>
    <row r="583" spans="1:8">
      <c r="A583" s="1"/>
      <c r="B583" s="1"/>
      <c r="C583" s="1"/>
      <c r="D583" s="1"/>
      <c r="E583" s="1"/>
      <c r="F583" s="1"/>
      <c r="G583" s="1"/>
      <c r="H583" s="1"/>
    </row>
    <row r="584" spans="1:8">
      <c r="A584" s="1"/>
      <c r="B584" s="1"/>
      <c r="C584" s="1"/>
      <c r="D584" s="1"/>
      <c r="E584" s="1"/>
      <c r="F584" s="1"/>
      <c r="G584" s="1"/>
      <c r="H584" s="1"/>
    </row>
    <row r="585" spans="1:8">
      <c r="A585" s="1"/>
      <c r="B585" s="1"/>
      <c r="C585" s="1"/>
      <c r="D585" s="1"/>
      <c r="E585" s="1"/>
      <c r="F585" s="1"/>
      <c r="G585" s="1"/>
      <c r="H585" s="1"/>
    </row>
    <row r="586" spans="1:8">
      <c r="A586" s="1"/>
      <c r="B586" s="1"/>
      <c r="C586" s="1"/>
      <c r="D586" s="1"/>
      <c r="E586" s="1"/>
      <c r="F586" s="1"/>
      <c r="G586" s="1"/>
      <c r="H586" s="1"/>
    </row>
    <row r="587" spans="1:8">
      <c r="A587" s="1"/>
      <c r="B587" s="1"/>
      <c r="C587" s="1"/>
      <c r="D587" s="1"/>
      <c r="E587" s="1"/>
      <c r="F587" s="1"/>
      <c r="G587" s="1"/>
      <c r="H587" s="1"/>
    </row>
    <row r="588" spans="1:8">
      <c r="A588" s="1"/>
      <c r="B588" s="1"/>
      <c r="C588" s="1"/>
      <c r="D588" s="1"/>
      <c r="E588" s="1"/>
      <c r="F588" s="1"/>
      <c r="G588" s="1"/>
      <c r="H588" s="1"/>
    </row>
    <row r="589" spans="1:8">
      <c r="A589" s="1"/>
      <c r="B589" s="1"/>
      <c r="C589" s="1"/>
      <c r="D589" s="1"/>
      <c r="E589" s="1"/>
      <c r="F589" s="1"/>
      <c r="G589" s="1"/>
      <c r="H589" s="1"/>
    </row>
    <row r="590" spans="1:8">
      <c r="A590" s="1"/>
      <c r="B590" s="1"/>
      <c r="C590" s="1"/>
      <c r="D590" s="1"/>
      <c r="E590" s="1"/>
      <c r="F590" s="1"/>
      <c r="G590" s="1"/>
      <c r="H590" s="1"/>
    </row>
    <row r="591" spans="1:8">
      <c r="A591" s="1"/>
      <c r="B591" s="1"/>
      <c r="C591" s="1"/>
      <c r="D591" s="1"/>
      <c r="E591" s="1"/>
      <c r="F591" s="1"/>
      <c r="G591" s="1"/>
      <c r="H591" s="1"/>
    </row>
    <row r="592" spans="1:8">
      <c r="A592" s="1"/>
      <c r="B592" s="1"/>
      <c r="C592" s="1"/>
      <c r="D592" s="1"/>
      <c r="E592" s="1"/>
      <c r="F592" s="1"/>
      <c r="G592" s="1"/>
      <c r="H592" s="1"/>
    </row>
    <row r="593" spans="1:8">
      <c r="A593" s="1"/>
      <c r="B593" s="1"/>
      <c r="C593" s="1"/>
      <c r="D593" s="1"/>
      <c r="E593" s="1"/>
      <c r="F593" s="1"/>
      <c r="G593" s="1"/>
      <c r="H593" s="1"/>
    </row>
    <row r="594" spans="1:8">
      <c r="A594" s="1"/>
      <c r="B594" s="1"/>
      <c r="C594" s="1"/>
      <c r="D594" s="1"/>
      <c r="E594" s="1"/>
      <c r="F594" s="1"/>
      <c r="G594" s="1"/>
      <c r="H594" s="1"/>
    </row>
    <row r="595" spans="1:8">
      <c r="A595" s="1"/>
      <c r="B595" s="1"/>
      <c r="C595" s="1"/>
      <c r="D595" s="1"/>
      <c r="E595" s="1"/>
      <c r="F595" s="1"/>
      <c r="G595" s="1"/>
      <c r="H595" s="1"/>
    </row>
    <row r="596" spans="1:8">
      <c r="A596" s="1"/>
      <c r="B596" s="1"/>
      <c r="C596" s="1"/>
      <c r="D596" s="1"/>
      <c r="E596" s="1"/>
      <c r="F596" s="1"/>
      <c r="G596" s="1"/>
      <c r="H596" s="1"/>
    </row>
    <row r="597" spans="1:8">
      <c r="A597" s="1"/>
      <c r="B597" s="1"/>
      <c r="C597" s="1"/>
      <c r="D597" s="1"/>
      <c r="E597" s="1"/>
      <c r="F597" s="1"/>
      <c r="G597" s="1"/>
      <c r="H597" s="1"/>
    </row>
    <row r="598" spans="1:8">
      <c r="A598" s="1"/>
      <c r="B598" s="1"/>
      <c r="C598" s="1"/>
      <c r="D598" s="1"/>
      <c r="E598" s="1"/>
      <c r="F598" s="1"/>
      <c r="G598" s="1"/>
      <c r="H598" s="1"/>
    </row>
    <row r="599" spans="1:8">
      <c r="A599" s="1"/>
      <c r="B599" s="1"/>
      <c r="C599" s="1"/>
      <c r="D599" s="1"/>
      <c r="E599" s="1"/>
      <c r="F599" s="1"/>
      <c r="G599" s="1"/>
      <c r="H599" s="1"/>
    </row>
    <row r="600" spans="1:8">
      <c r="A600" s="1"/>
      <c r="B600" s="1"/>
      <c r="C600" s="1"/>
      <c r="D600" s="1"/>
      <c r="E600" s="1"/>
      <c r="F600" s="1"/>
      <c r="G600" s="1"/>
      <c r="H600" s="1"/>
    </row>
    <row r="601" spans="1:8">
      <c r="A601" s="1"/>
      <c r="B601" s="1"/>
      <c r="C601" s="1"/>
      <c r="D601" s="1"/>
      <c r="E601" s="1"/>
      <c r="F601" s="1"/>
      <c r="G601" s="1"/>
      <c r="H601" s="1"/>
    </row>
    <row r="602" spans="1:8">
      <c r="A602" s="1"/>
      <c r="B602" s="1"/>
      <c r="C602" s="1"/>
      <c r="D602" s="1"/>
      <c r="E602" s="1"/>
      <c r="F602" s="1"/>
      <c r="G602" s="1"/>
      <c r="H602" s="1"/>
    </row>
    <row r="603" spans="1:8">
      <c r="A603" s="1"/>
      <c r="B603" s="1"/>
      <c r="C603" s="1"/>
      <c r="D603" s="1"/>
      <c r="E603" s="1"/>
      <c r="F603" s="1"/>
      <c r="G603" s="1"/>
      <c r="H603" s="1"/>
    </row>
    <row r="604" spans="1:8">
      <c r="A604" s="1"/>
      <c r="B604" s="1"/>
      <c r="C604" s="1"/>
      <c r="D604" s="1"/>
      <c r="E604" s="1"/>
      <c r="F604" s="1"/>
      <c r="G604" s="1"/>
      <c r="H604" s="1"/>
    </row>
    <row r="605" spans="1:8">
      <c r="A605" s="1"/>
      <c r="B605" s="1"/>
      <c r="C605" s="1"/>
      <c r="D605" s="1"/>
      <c r="E605" s="1"/>
      <c r="F605" s="1"/>
      <c r="G605" s="1"/>
      <c r="H605" s="1"/>
    </row>
    <row r="606" spans="1:8">
      <c r="A606" s="1"/>
      <c r="B606" s="1"/>
      <c r="C606" s="1"/>
      <c r="D606" s="1"/>
      <c r="E606" s="1"/>
      <c r="F606" s="1"/>
      <c r="G606" s="1"/>
      <c r="H606" s="1"/>
    </row>
    <row r="607" spans="1:8">
      <c r="A607" s="1"/>
      <c r="B607" s="1"/>
      <c r="C607" s="1"/>
      <c r="D607" s="1"/>
      <c r="E607" s="1"/>
      <c r="F607" s="1"/>
      <c r="G607" s="1"/>
      <c r="H607" s="1"/>
    </row>
    <row r="608" spans="1:8">
      <c r="A608" s="1"/>
      <c r="B608" s="1"/>
      <c r="C608" s="1"/>
      <c r="D608" s="1"/>
      <c r="E608" s="1"/>
      <c r="F608" s="1"/>
      <c r="G608" s="1"/>
      <c r="H608" s="1"/>
    </row>
    <row r="609" spans="1:8">
      <c r="A609" s="1"/>
      <c r="B609" s="1"/>
      <c r="C609" s="1"/>
      <c r="D609" s="1"/>
      <c r="E609" s="1"/>
      <c r="F609" s="1"/>
      <c r="G609" s="1"/>
      <c r="H609" s="1"/>
    </row>
    <row r="610" spans="1:8">
      <c r="A610" s="1"/>
      <c r="B610" s="1"/>
      <c r="C610" s="1"/>
      <c r="D610" s="1"/>
      <c r="E610" s="1"/>
      <c r="F610" s="1"/>
      <c r="G610" s="1"/>
      <c r="H610" s="1"/>
    </row>
    <row r="611" spans="1:8">
      <c r="A611" s="1"/>
      <c r="B611" s="1"/>
      <c r="C611" s="1"/>
      <c r="D611" s="1"/>
      <c r="E611" s="1"/>
      <c r="F611" s="1"/>
      <c r="G611" s="1"/>
      <c r="H611" s="1"/>
    </row>
    <row r="612" spans="1:8">
      <c r="A612" s="1"/>
      <c r="B612" s="1"/>
      <c r="C612" s="1"/>
      <c r="D612" s="1"/>
      <c r="E612" s="1"/>
      <c r="F612" s="1"/>
      <c r="G612" s="1"/>
      <c r="H612" s="1"/>
    </row>
    <row r="613" spans="1:8">
      <c r="A613" s="1"/>
      <c r="B613" s="1"/>
      <c r="C613" s="1"/>
      <c r="D613" s="1"/>
      <c r="E613" s="1"/>
      <c r="F613" s="1"/>
      <c r="G613" s="1"/>
      <c r="H613" s="1"/>
    </row>
    <row r="614" spans="1:8">
      <c r="A614" s="1"/>
      <c r="B614" s="1"/>
      <c r="C614" s="1"/>
      <c r="D614" s="1"/>
      <c r="E614" s="1"/>
      <c r="F614" s="1"/>
      <c r="G614" s="1"/>
      <c r="H614" s="1"/>
    </row>
    <row r="615" spans="1:8">
      <c r="A615" s="1"/>
      <c r="B615" s="1"/>
      <c r="C615" s="1"/>
      <c r="D615" s="1"/>
      <c r="E615" s="1"/>
      <c r="F615" s="1"/>
      <c r="G615" s="1"/>
      <c r="H615" s="1"/>
    </row>
    <row r="616" spans="1:8">
      <c r="A616" s="1"/>
      <c r="B616" s="1"/>
      <c r="C616" s="1"/>
      <c r="D616" s="1"/>
      <c r="E616" s="1"/>
      <c r="F616" s="1"/>
      <c r="G616" s="1"/>
      <c r="H616" s="1"/>
    </row>
    <row r="617" spans="1:8">
      <c r="A617" s="1"/>
      <c r="B617" s="1"/>
      <c r="C617" s="1"/>
      <c r="D617" s="1"/>
      <c r="E617" s="1"/>
      <c r="F617" s="1"/>
      <c r="G617" s="1"/>
      <c r="H617" s="1"/>
    </row>
    <row r="618" spans="1:8">
      <c r="A618" s="1"/>
      <c r="B618" s="1"/>
      <c r="C618" s="1"/>
      <c r="D618" s="1"/>
      <c r="E618" s="1"/>
      <c r="F618" s="1"/>
      <c r="G618" s="1"/>
      <c r="H618" s="1"/>
    </row>
    <row r="619" spans="1:8">
      <c r="A619" s="1"/>
      <c r="B619" s="1"/>
      <c r="C619" s="1"/>
      <c r="D619" s="1"/>
      <c r="E619" s="1"/>
      <c r="F619" s="1"/>
      <c r="G619" s="1"/>
      <c r="H619" s="1"/>
    </row>
    <row r="620" spans="1:8">
      <c r="A620" s="1"/>
      <c r="B620" s="1"/>
      <c r="C620" s="1"/>
      <c r="D620" s="1"/>
      <c r="E620" s="1"/>
      <c r="F620" s="1"/>
      <c r="G620" s="1"/>
      <c r="H620" s="1"/>
    </row>
    <row r="621" spans="1:8">
      <c r="A621" s="1"/>
      <c r="B621" s="1"/>
      <c r="C621" s="1"/>
      <c r="D621" s="1"/>
      <c r="E621" s="1"/>
      <c r="F621" s="1"/>
      <c r="G621" s="1"/>
      <c r="H621" s="1"/>
    </row>
    <row r="622" spans="1:8">
      <c r="A622" s="1"/>
      <c r="B622" s="1"/>
      <c r="C622" s="1"/>
      <c r="D622" s="1"/>
      <c r="E622" s="1"/>
      <c r="F622" s="1"/>
      <c r="G622" s="1"/>
      <c r="H622" s="1"/>
    </row>
    <row r="623" spans="1:8">
      <c r="A623" s="1"/>
      <c r="B623" s="1"/>
      <c r="C623" s="1"/>
      <c r="D623" s="1"/>
      <c r="E623" s="1"/>
      <c r="F623" s="1"/>
      <c r="G623" s="1"/>
      <c r="H623" s="1"/>
    </row>
    <row r="624" spans="1:8">
      <c r="A624" s="1"/>
      <c r="B624" s="1"/>
      <c r="C624" s="1"/>
      <c r="D624" s="1"/>
      <c r="E624" s="1"/>
      <c r="F624" s="1"/>
      <c r="G624" s="1"/>
      <c r="H624" s="1"/>
    </row>
    <row r="625" spans="1:8">
      <c r="A625" s="1"/>
      <c r="B625" s="1"/>
      <c r="C625" s="1"/>
      <c r="D625" s="1"/>
      <c r="E625" s="1"/>
      <c r="F625" s="1"/>
      <c r="G625" s="1"/>
      <c r="H625" s="1"/>
    </row>
    <row r="626" spans="1:8">
      <c r="A626" s="1"/>
      <c r="B626" s="1"/>
      <c r="C626" s="1"/>
      <c r="D626" s="1"/>
      <c r="E626" s="1"/>
      <c r="F626" s="1"/>
      <c r="G626" s="1"/>
      <c r="H626" s="1"/>
    </row>
    <row r="627" spans="1:8">
      <c r="A627" s="1"/>
      <c r="B627" s="1"/>
      <c r="C627" s="1"/>
      <c r="D627" s="1"/>
      <c r="E627" s="1"/>
      <c r="F627" s="1"/>
      <c r="G627" s="1"/>
      <c r="H627" s="1"/>
    </row>
    <row r="628" spans="1:8">
      <c r="A628" s="1"/>
      <c r="B628" s="1"/>
      <c r="C628" s="1"/>
      <c r="D628" s="1"/>
      <c r="E628" s="1"/>
      <c r="F628" s="1"/>
      <c r="G628" s="1"/>
      <c r="H628" s="1"/>
    </row>
    <row r="629" spans="1:8">
      <c r="A629" s="1"/>
      <c r="B629" s="1"/>
      <c r="C629" s="1"/>
      <c r="D629" s="1"/>
      <c r="E629" s="1"/>
      <c r="F629" s="1"/>
      <c r="G629" s="1"/>
      <c r="H629" s="1"/>
    </row>
    <row r="630" spans="1:8">
      <c r="A630" s="1"/>
      <c r="B630" s="1"/>
      <c r="C630" s="1"/>
      <c r="D630" s="1"/>
      <c r="E630" s="1"/>
      <c r="F630" s="1"/>
      <c r="G630" s="1"/>
      <c r="H630" s="1"/>
    </row>
    <row r="631" spans="1:8">
      <c r="A631" s="1"/>
      <c r="B631" s="1"/>
      <c r="C631" s="1"/>
      <c r="D631" s="1"/>
      <c r="E631" s="1"/>
      <c r="F631" s="1"/>
      <c r="G631" s="1"/>
      <c r="H631" s="1"/>
    </row>
    <row r="632" spans="1:8">
      <c r="A632" s="1"/>
      <c r="B632" s="1"/>
      <c r="C632" s="1"/>
      <c r="D632" s="1"/>
      <c r="E632" s="1"/>
      <c r="F632" s="1"/>
      <c r="G632" s="1"/>
      <c r="H632" s="1"/>
    </row>
    <row r="633" spans="1:8">
      <c r="A633" s="1"/>
      <c r="B633" s="1"/>
      <c r="C633" s="1"/>
      <c r="D633" s="1"/>
      <c r="E633" s="1"/>
      <c r="F633" s="1"/>
      <c r="G633" s="1"/>
      <c r="H633" s="1"/>
    </row>
    <row r="634" spans="1:8">
      <c r="A634" s="1"/>
      <c r="B634" s="1"/>
      <c r="C634" s="1"/>
      <c r="D634" s="1"/>
      <c r="E634" s="1"/>
      <c r="F634" s="1"/>
      <c r="G634" s="1"/>
      <c r="H634" s="1"/>
    </row>
    <row r="635" spans="1:8">
      <c r="A635" s="1"/>
      <c r="B635" s="1"/>
      <c r="C635" s="1"/>
      <c r="D635" s="1"/>
      <c r="E635" s="1"/>
      <c r="F635" s="1"/>
      <c r="G635" s="1"/>
      <c r="H635" s="1"/>
    </row>
    <row r="636" spans="1:8">
      <c r="A636" s="1"/>
      <c r="B636" s="1"/>
      <c r="C636" s="1"/>
      <c r="D636" s="1"/>
      <c r="E636" s="1"/>
      <c r="F636" s="1"/>
      <c r="G636" s="1"/>
      <c r="H636" s="1"/>
    </row>
    <row r="637" spans="1:8">
      <c r="A637" s="1"/>
      <c r="B637" s="1"/>
      <c r="C637" s="1"/>
      <c r="D637" s="1"/>
      <c r="E637" s="1"/>
      <c r="F637" s="1"/>
      <c r="G637" s="1"/>
      <c r="H637" s="1"/>
    </row>
    <row r="638" spans="1:8">
      <c r="A638" s="1"/>
      <c r="B638" s="1"/>
      <c r="C638" s="1"/>
      <c r="D638" s="1"/>
      <c r="E638" s="1"/>
      <c r="F638" s="1"/>
      <c r="G638" s="1"/>
      <c r="H638" s="1"/>
    </row>
    <row r="639" spans="1:8">
      <c r="A639" s="1"/>
      <c r="B639" s="1"/>
      <c r="C639" s="1"/>
      <c r="D639" s="1"/>
      <c r="E639" s="1"/>
      <c r="F639" s="1"/>
      <c r="G639" s="1"/>
      <c r="H639" s="1"/>
    </row>
    <row r="640" spans="1:8">
      <c r="A640" s="1"/>
      <c r="B640" s="1"/>
      <c r="C640" s="1"/>
      <c r="D640" s="1"/>
      <c r="E640" s="1"/>
      <c r="F640" s="1"/>
      <c r="G640" s="1"/>
      <c r="H640" s="1"/>
    </row>
    <row r="641" spans="1:8">
      <c r="A641" s="1"/>
      <c r="B641" s="1"/>
      <c r="C641" s="1"/>
      <c r="D641" s="1"/>
      <c r="E641" s="1"/>
      <c r="F641" s="1"/>
      <c r="G641" s="1"/>
      <c r="H641" s="1"/>
    </row>
    <row r="642" spans="1:8">
      <c r="A642" s="1"/>
      <c r="B642" s="1"/>
      <c r="C642" s="1"/>
      <c r="D642" s="1"/>
      <c r="E642" s="1"/>
      <c r="F642" s="1"/>
      <c r="G642" s="1"/>
      <c r="H642" s="1"/>
    </row>
    <row r="643" spans="1:8">
      <c r="A643" s="1"/>
      <c r="B643" s="1"/>
      <c r="C643" s="1"/>
      <c r="D643" s="1"/>
      <c r="E643" s="1"/>
      <c r="F643" s="1"/>
      <c r="G643" s="1"/>
      <c r="H643" s="1"/>
    </row>
  </sheetData>
  <mergeCells count="192">
    <mergeCell ref="E201:H201"/>
    <mergeCell ref="E202:H202"/>
    <mergeCell ref="G195:H195"/>
    <mergeCell ref="G196:H196"/>
    <mergeCell ref="G189:H189"/>
    <mergeCell ref="G190:H190"/>
    <mergeCell ref="G191:H191"/>
    <mergeCell ref="G192:H192"/>
    <mergeCell ref="G193:H193"/>
    <mergeCell ref="G194:H194"/>
    <mergeCell ref="G24:H24"/>
    <mergeCell ref="G25:H25"/>
    <mergeCell ref="G26:H26"/>
    <mergeCell ref="E200:H200"/>
    <mergeCell ref="G33:H33"/>
    <mergeCell ref="G34:H34"/>
    <mergeCell ref="G35:H35"/>
    <mergeCell ref="G36:H36"/>
    <mergeCell ref="G37:H37"/>
    <mergeCell ref="G39:H39"/>
    <mergeCell ref="G27:H27"/>
    <mergeCell ref="G28:H28"/>
    <mergeCell ref="G29:H29"/>
    <mergeCell ref="G30:H30"/>
    <mergeCell ref="G31:H31"/>
    <mergeCell ref="G32:H32"/>
    <mergeCell ref="G46:H46"/>
    <mergeCell ref="G47:H47"/>
    <mergeCell ref="G50:H50"/>
    <mergeCell ref="G180:H180"/>
    <mergeCell ref="G178:H178"/>
    <mergeCell ref="G179:H179"/>
    <mergeCell ref="G186:H186"/>
    <mergeCell ref="E197:H199"/>
    <mergeCell ref="A1:H7"/>
    <mergeCell ref="A8:H8"/>
    <mergeCell ref="A10:H10"/>
    <mergeCell ref="B11:H11"/>
    <mergeCell ref="B12:H12"/>
    <mergeCell ref="B13:H13"/>
    <mergeCell ref="G21:H21"/>
    <mergeCell ref="G22:H22"/>
    <mergeCell ref="G23:H23"/>
    <mergeCell ref="E14:H14"/>
    <mergeCell ref="G16:H16"/>
    <mergeCell ref="G15:H15"/>
    <mergeCell ref="G18:H18"/>
    <mergeCell ref="G17:H17"/>
    <mergeCell ref="G19:H19"/>
    <mergeCell ref="G20:H20"/>
    <mergeCell ref="G51:H51"/>
    <mergeCell ref="G38:H38"/>
    <mergeCell ref="G48:H48"/>
    <mergeCell ref="G52:H52"/>
    <mergeCell ref="G53:H53"/>
    <mergeCell ref="G40:H40"/>
    <mergeCell ref="G41:H41"/>
    <mergeCell ref="G42:H42"/>
    <mergeCell ref="G43:H43"/>
    <mergeCell ref="G44:H44"/>
    <mergeCell ref="G45:H45"/>
    <mergeCell ref="G49:H49"/>
    <mergeCell ref="G61:H61"/>
    <mergeCell ref="G62:H62"/>
    <mergeCell ref="G63:H63"/>
    <mergeCell ref="G64:H64"/>
    <mergeCell ref="G65:H65"/>
    <mergeCell ref="G58:H58"/>
    <mergeCell ref="G54:H54"/>
    <mergeCell ref="G55:H55"/>
    <mergeCell ref="G56:H56"/>
    <mergeCell ref="G57:H57"/>
    <mergeCell ref="G59:H59"/>
    <mergeCell ref="G60:H60"/>
    <mergeCell ref="G73:H73"/>
    <mergeCell ref="G74:H74"/>
    <mergeCell ref="G66:H66"/>
    <mergeCell ref="G75:H75"/>
    <mergeCell ref="G76:H76"/>
    <mergeCell ref="G77:H77"/>
    <mergeCell ref="G70:H70"/>
    <mergeCell ref="G67:H67"/>
    <mergeCell ref="G68:H68"/>
    <mergeCell ref="G69:H69"/>
    <mergeCell ref="G71:H71"/>
    <mergeCell ref="G72:H72"/>
    <mergeCell ref="G84:H84"/>
    <mergeCell ref="G85:H85"/>
    <mergeCell ref="G86:H86"/>
    <mergeCell ref="G87:H87"/>
    <mergeCell ref="G88:H88"/>
    <mergeCell ref="G78:H78"/>
    <mergeCell ref="G79:H79"/>
    <mergeCell ref="G80:H80"/>
    <mergeCell ref="G81:H81"/>
    <mergeCell ref="G82:H82"/>
    <mergeCell ref="G83:H83"/>
    <mergeCell ref="G94:H94"/>
    <mergeCell ref="G95:H95"/>
    <mergeCell ref="G96:H96"/>
    <mergeCell ref="G97:H97"/>
    <mergeCell ref="G98:H98"/>
    <mergeCell ref="G99:H99"/>
    <mergeCell ref="G89:H89"/>
    <mergeCell ref="G90:H90"/>
    <mergeCell ref="G91:H91"/>
    <mergeCell ref="G92:H92"/>
    <mergeCell ref="G93:H93"/>
    <mergeCell ref="G122:H122"/>
    <mergeCell ref="G107:H107"/>
    <mergeCell ref="G105:H105"/>
    <mergeCell ref="G109:H109"/>
    <mergeCell ref="G110:H110"/>
    <mergeCell ref="G100:H100"/>
    <mergeCell ref="G102:H102"/>
    <mergeCell ref="G101:H101"/>
    <mergeCell ref="G103:H103"/>
    <mergeCell ref="G104:H104"/>
    <mergeCell ref="G106:H106"/>
    <mergeCell ref="G111:H111"/>
    <mergeCell ref="G112:H112"/>
    <mergeCell ref="G113:H113"/>
    <mergeCell ref="G115:H115"/>
    <mergeCell ref="G121:H121"/>
    <mergeCell ref="G116:H116"/>
    <mergeCell ref="G117:H117"/>
    <mergeCell ref="G118:H118"/>
    <mergeCell ref="G119:H119"/>
    <mergeCell ref="G120:H120"/>
    <mergeCell ref="G114:H114"/>
    <mergeCell ref="G140:H140"/>
    <mergeCell ref="G141:H141"/>
    <mergeCell ref="G142:H142"/>
    <mergeCell ref="G143:H143"/>
    <mergeCell ref="G144:H144"/>
    <mergeCell ref="G145:H145"/>
    <mergeCell ref="G123:H123"/>
    <mergeCell ref="G124:H124"/>
    <mergeCell ref="G125:H125"/>
    <mergeCell ref="G127:H127"/>
    <mergeCell ref="G128:H128"/>
    <mergeCell ref="G126:H126"/>
    <mergeCell ref="G138:H138"/>
    <mergeCell ref="G139:H139"/>
    <mergeCell ref="G129:H129"/>
    <mergeCell ref="G131:H131"/>
    <mergeCell ref="G136:H136"/>
    <mergeCell ref="G137:H137"/>
    <mergeCell ref="G130:H130"/>
    <mergeCell ref="G132:H132"/>
    <mergeCell ref="G133:H133"/>
    <mergeCell ref="G134:H134"/>
    <mergeCell ref="G135:H135"/>
    <mergeCell ref="G154:H154"/>
    <mergeCell ref="G155:H155"/>
    <mergeCell ref="G156:H156"/>
    <mergeCell ref="G164:H164"/>
    <mergeCell ref="G165:H165"/>
    <mergeCell ref="G166:H166"/>
    <mergeCell ref="G167:H167"/>
    <mergeCell ref="G158:H158"/>
    <mergeCell ref="G146:H146"/>
    <mergeCell ref="G147:H147"/>
    <mergeCell ref="G148:H148"/>
    <mergeCell ref="G149:H149"/>
    <mergeCell ref="G150:H150"/>
    <mergeCell ref="G151:H151"/>
    <mergeCell ref="G157:H157"/>
    <mergeCell ref="G159:H159"/>
    <mergeCell ref="G160:H160"/>
    <mergeCell ref="G161:H161"/>
    <mergeCell ref="G162:H162"/>
    <mergeCell ref="G163:H163"/>
    <mergeCell ref="G152:H152"/>
    <mergeCell ref="G153:H153"/>
    <mergeCell ref="G187:H187"/>
    <mergeCell ref="G188:H188"/>
    <mergeCell ref="G170:H170"/>
    <mergeCell ref="G171:H171"/>
    <mergeCell ref="G172:H172"/>
    <mergeCell ref="G173:H173"/>
    <mergeCell ref="G174:H174"/>
    <mergeCell ref="G168:H168"/>
    <mergeCell ref="G169:H169"/>
    <mergeCell ref="G182:H182"/>
    <mergeCell ref="G175:H175"/>
    <mergeCell ref="G176:H176"/>
    <mergeCell ref="G177:H177"/>
    <mergeCell ref="G181:H181"/>
    <mergeCell ref="G183:H183"/>
    <mergeCell ref="G184:H184"/>
    <mergeCell ref="G185:H185"/>
  </mergeCells>
  <pageMargins left="0.51181102362204722" right="0.51181102362204722" top="0.78740157480314965" bottom="0.78740157480314965" header="0.31496062992125984" footer="0.31496062992125984"/>
  <pageSetup paperSize="9" scale="52" fitToHeight="0" orientation="portrait" r:id="rId1"/>
  <headerFooter>
    <oddFooter xml:space="preserve">&amp;C&amp;"Arial,Normal"&amp;8Prefeitura Municipal da Estância Turística de Paraguaçu Paulista - Rua Polidoro Simões, 533 (sede provisória) CEP 19.700-000Fone: (18)3361-9100 - Fax: (18)3361-1331 – Estância Turística de Paraguaçu Paulista - SP 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A57"/>
  <sheetViews>
    <sheetView view="pageBreakPreview" topLeftCell="A13" zoomScale="85" zoomScaleNormal="120" zoomScaleSheetLayoutView="85" workbookViewId="0">
      <selection activeCell="C59" sqref="C59"/>
    </sheetView>
  </sheetViews>
  <sheetFormatPr defaultRowHeight="12.75"/>
  <cols>
    <col min="1" max="1" width="4.7109375" style="116" customWidth="1"/>
    <col min="2" max="2" width="6.28515625" style="116" customWidth="1"/>
    <col min="3" max="3" width="25.28515625" style="116" customWidth="1"/>
    <col min="4" max="5" width="15.85546875" style="116" customWidth="1"/>
    <col min="6" max="6" width="17" style="116" bestFit="1" customWidth="1"/>
    <col min="7" max="7" width="15.140625" style="116" customWidth="1"/>
    <col min="8" max="8" width="15.85546875" style="116" customWidth="1"/>
    <col min="9" max="9" width="15.140625" style="116" customWidth="1"/>
    <col min="10" max="13" width="15.28515625" style="116" customWidth="1"/>
    <col min="14" max="14" width="21.28515625" style="116" customWidth="1"/>
    <col min="15" max="15" width="18.7109375" style="116" customWidth="1"/>
    <col min="16" max="16" width="12.5703125" style="116" customWidth="1"/>
    <col min="17" max="17" width="13.42578125" style="116" customWidth="1"/>
    <col min="18" max="18" width="10.7109375" style="116" customWidth="1"/>
    <col min="19" max="1023" width="8.42578125" style="116" customWidth="1"/>
    <col min="1024" max="16384" width="9.140625" style="116"/>
  </cols>
  <sheetData>
    <row r="1" spans="1:17" ht="3" customHeight="1">
      <c r="A1" s="261" t="s">
        <v>369</v>
      </c>
      <c r="B1" s="261"/>
      <c r="C1" s="261"/>
      <c r="D1" s="261"/>
      <c r="E1" s="261"/>
      <c r="F1" s="261"/>
      <c r="G1" s="261"/>
      <c r="H1" s="261"/>
      <c r="I1" s="261"/>
      <c r="J1" s="261"/>
      <c r="K1" s="261"/>
      <c r="L1" s="261"/>
      <c r="M1" s="261"/>
      <c r="N1" s="261"/>
    </row>
    <row r="2" spans="1:17">
      <c r="A2" s="261"/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</row>
    <row r="3" spans="1:17">
      <c r="A3" s="261"/>
      <c r="B3" s="261"/>
      <c r="C3" s="261"/>
      <c r="D3" s="261"/>
      <c r="E3" s="261"/>
      <c r="F3" s="261"/>
      <c r="G3" s="261"/>
      <c r="H3" s="261"/>
      <c r="I3" s="261"/>
      <c r="J3" s="261"/>
      <c r="K3" s="261"/>
      <c r="L3" s="261"/>
      <c r="M3" s="261"/>
      <c r="N3" s="261"/>
    </row>
    <row r="4" spans="1:17">
      <c r="A4" s="261"/>
      <c r="B4" s="261"/>
      <c r="C4" s="261"/>
      <c r="D4" s="261"/>
      <c r="E4" s="261"/>
      <c r="F4" s="261"/>
      <c r="G4" s="261"/>
      <c r="H4" s="261"/>
      <c r="I4" s="261"/>
      <c r="J4" s="261"/>
      <c r="K4" s="261"/>
      <c r="L4" s="261"/>
      <c r="M4" s="261"/>
      <c r="N4" s="261"/>
    </row>
    <row r="5" spans="1:17">
      <c r="A5" s="261"/>
      <c r="B5" s="261"/>
      <c r="C5" s="261"/>
      <c r="D5" s="261"/>
      <c r="E5" s="261"/>
      <c r="F5" s="261"/>
      <c r="G5" s="261"/>
      <c r="H5" s="261"/>
      <c r="I5" s="261"/>
      <c r="J5" s="261"/>
      <c r="K5" s="261"/>
      <c r="L5" s="261"/>
      <c r="M5" s="261"/>
      <c r="N5" s="261"/>
    </row>
    <row r="6" spans="1:17">
      <c r="A6" s="261"/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  <c r="N6" s="261"/>
    </row>
    <row r="7" spans="1:17" ht="17.25" customHeight="1">
      <c r="A7" s="261"/>
      <c r="B7" s="261"/>
      <c r="C7" s="261"/>
      <c r="D7" s="261"/>
      <c r="E7" s="261"/>
      <c r="F7" s="261"/>
      <c r="G7" s="261"/>
      <c r="H7" s="261"/>
      <c r="I7" s="261"/>
      <c r="J7" s="261"/>
      <c r="K7" s="261"/>
      <c r="L7" s="261"/>
      <c r="M7" s="261"/>
      <c r="N7" s="261"/>
    </row>
    <row r="8" spans="1:17">
      <c r="A8" s="262" t="s">
        <v>370</v>
      </c>
      <c r="B8" s="262"/>
      <c r="C8" s="262"/>
      <c r="D8" s="262"/>
      <c r="E8" s="262"/>
      <c r="F8" s="262"/>
      <c r="G8" s="262"/>
      <c r="H8" s="262"/>
      <c r="I8" s="262"/>
      <c r="J8" s="262"/>
      <c r="K8" s="262"/>
      <c r="L8" s="262"/>
      <c r="M8" s="262"/>
      <c r="N8" s="262"/>
    </row>
    <row r="9" spans="1:17" ht="6.75" customHeight="1">
      <c r="A9" s="73"/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5"/>
    </row>
    <row r="10" spans="1:17" ht="12" customHeight="1">
      <c r="A10" s="263" t="s">
        <v>371</v>
      </c>
      <c r="B10" s="264"/>
      <c r="C10" s="264"/>
      <c r="D10" s="264"/>
      <c r="E10" s="264"/>
      <c r="F10" s="264"/>
      <c r="G10" s="264"/>
      <c r="H10" s="264"/>
      <c r="I10" s="264"/>
      <c r="J10" s="264"/>
      <c r="K10" s="264"/>
      <c r="L10" s="264"/>
      <c r="M10" s="264"/>
      <c r="N10" s="265"/>
    </row>
    <row r="11" spans="1:17" ht="17.25" customHeight="1">
      <c r="A11" s="260" t="s">
        <v>421</v>
      </c>
      <c r="B11" s="260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</row>
    <row r="12" spans="1:17" ht="18" customHeight="1">
      <c r="A12" s="260" t="s">
        <v>422</v>
      </c>
      <c r="B12" s="260"/>
      <c r="C12" s="260"/>
      <c r="D12" s="260"/>
      <c r="E12" s="260"/>
      <c r="F12" s="260"/>
      <c r="G12" s="260"/>
      <c r="H12" s="260"/>
      <c r="I12" s="260"/>
      <c r="J12" s="260"/>
      <c r="K12" s="260"/>
      <c r="L12" s="260"/>
      <c r="M12" s="260"/>
      <c r="N12" s="260"/>
    </row>
    <row r="13" spans="1:17" ht="15" customHeight="1">
      <c r="A13" s="260" t="s">
        <v>710</v>
      </c>
      <c r="B13" s="260"/>
      <c r="C13" s="260"/>
      <c r="D13" s="260"/>
      <c r="E13" s="260"/>
      <c r="F13" s="260"/>
      <c r="G13" s="260"/>
      <c r="H13" s="260"/>
      <c r="I13" s="260"/>
      <c r="J13" s="260"/>
      <c r="K13" s="260"/>
      <c r="L13" s="260"/>
      <c r="M13" s="260"/>
      <c r="N13" s="260"/>
      <c r="P13" s="129"/>
      <c r="Q13" s="129"/>
    </row>
    <row r="14" spans="1:17" ht="15" customHeight="1">
      <c r="A14" s="76"/>
      <c r="B14" s="77"/>
      <c r="C14" s="78" t="s">
        <v>372</v>
      </c>
      <c r="D14" s="79" t="s">
        <v>373</v>
      </c>
      <c r="E14" s="79" t="s">
        <v>374</v>
      </c>
      <c r="F14" s="79" t="s">
        <v>375</v>
      </c>
      <c r="G14" s="79" t="s">
        <v>376</v>
      </c>
      <c r="H14" s="79" t="s">
        <v>377</v>
      </c>
      <c r="I14" s="79" t="s">
        <v>378</v>
      </c>
      <c r="J14" s="79" t="s">
        <v>379</v>
      </c>
      <c r="K14" s="79" t="s">
        <v>380</v>
      </c>
      <c r="L14" s="138" t="s">
        <v>610</v>
      </c>
      <c r="M14" s="138" t="s">
        <v>611</v>
      </c>
      <c r="N14" s="266" t="s">
        <v>381</v>
      </c>
    </row>
    <row r="15" spans="1:17" ht="15" customHeight="1" thickBot="1">
      <c r="A15" s="268" t="s">
        <v>382</v>
      </c>
      <c r="B15" s="269"/>
      <c r="C15" s="270"/>
      <c r="D15" s="80">
        <v>30</v>
      </c>
      <c r="E15" s="81">
        <v>60</v>
      </c>
      <c r="F15" s="80">
        <v>90</v>
      </c>
      <c r="G15" s="81">
        <v>120</v>
      </c>
      <c r="H15" s="80">
        <v>150</v>
      </c>
      <c r="I15" s="81">
        <v>180</v>
      </c>
      <c r="J15" s="80">
        <v>210</v>
      </c>
      <c r="K15" s="81">
        <v>240</v>
      </c>
      <c r="L15" s="80">
        <v>270</v>
      </c>
      <c r="M15" s="81">
        <v>300</v>
      </c>
      <c r="N15" s="267"/>
    </row>
    <row r="16" spans="1:17" ht="15" customHeight="1">
      <c r="A16" s="280"/>
      <c r="B16" s="282" t="s">
        <v>383</v>
      </c>
      <c r="C16" s="283" t="s">
        <v>384</v>
      </c>
      <c r="D16" s="82">
        <f>D17/N17</f>
        <v>1</v>
      </c>
      <c r="E16" s="83"/>
      <c r="F16" s="83"/>
      <c r="G16" s="83"/>
      <c r="H16" s="83"/>
      <c r="I16" s="83"/>
      <c r="J16" s="83"/>
      <c r="K16" s="83"/>
      <c r="L16" s="83"/>
      <c r="M16" s="83"/>
      <c r="N16" s="84">
        <f>'CRONOGRAMA FÍSICOFINANCEIRO DEF'!N17/$N$53</f>
        <v>4.7387237867646023E-2</v>
      </c>
      <c r="O16" s="145"/>
    </row>
    <row r="17" spans="1:27" ht="15" customHeight="1">
      <c r="A17" s="280"/>
      <c r="B17" s="271"/>
      <c r="C17" s="272"/>
      <c r="D17" s="85">
        <v>13942.62</v>
      </c>
      <c r="E17" s="86"/>
      <c r="F17" s="87"/>
      <c r="G17" s="87"/>
      <c r="H17" s="87"/>
      <c r="I17" s="87"/>
      <c r="J17" s="87"/>
      <c r="K17" s="87"/>
      <c r="L17" s="87"/>
      <c r="M17" s="87"/>
      <c r="N17" s="88">
        <f>SUM(D17:K17)</f>
        <v>13942.62</v>
      </c>
      <c r="O17" s="117"/>
      <c r="P17" s="118"/>
      <c r="Q17" s="118"/>
      <c r="R17" s="118"/>
      <c r="S17" s="118"/>
      <c r="T17" s="118"/>
      <c r="U17" s="118"/>
      <c r="V17" s="118"/>
      <c r="W17" s="118"/>
      <c r="X17" s="118"/>
      <c r="Y17" s="118"/>
      <c r="Z17" s="118"/>
      <c r="AA17" s="118"/>
    </row>
    <row r="18" spans="1:27" ht="15" customHeight="1">
      <c r="A18" s="280"/>
      <c r="B18" s="271" t="s">
        <v>385</v>
      </c>
      <c r="C18" s="272" t="s">
        <v>410</v>
      </c>
      <c r="D18" s="83"/>
      <c r="E18" s="82">
        <f>E19/N19</f>
        <v>1</v>
      </c>
      <c r="F18" s="82"/>
      <c r="G18" s="83"/>
      <c r="H18" s="83"/>
      <c r="I18" s="83"/>
      <c r="J18" s="83"/>
      <c r="K18" s="83"/>
      <c r="L18" s="83"/>
      <c r="M18" s="83"/>
      <c r="N18" s="84">
        <f>N19/$N$53</f>
        <v>1.9587813939235831E-2</v>
      </c>
      <c r="O18" s="145"/>
      <c r="P18" s="118"/>
      <c r="Q18" s="118"/>
      <c r="R18" s="118"/>
      <c r="S18" s="118"/>
      <c r="T18" s="118"/>
      <c r="U18" s="118"/>
      <c r="V18" s="118"/>
      <c r="W18" s="118"/>
      <c r="X18" s="118"/>
      <c r="Y18" s="118"/>
      <c r="Z18" s="118"/>
      <c r="AA18" s="118"/>
    </row>
    <row r="19" spans="1:27" ht="15" customHeight="1">
      <c r="A19" s="280"/>
      <c r="B19" s="271"/>
      <c r="C19" s="272"/>
      <c r="D19" s="87"/>
      <c r="E19" s="85">
        <f>2748-100+2400.28+714.99</f>
        <v>5763.27</v>
      </c>
      <c r="F19" s="86"/>
      <c r="G19" s="87"/>
      <c r="H19" s="87"/>
      <c r="I19" s="87"/>
      <c r="J19" s="87"/>
      <c r="K19" s="87"/>
      <c r="L19" s="87"/>
      <c r="M19" s="87"/>
      <c r="N19" s="88">
        <f>SUM(E19:K19)</f>
        <v>5763.27</v>
      </c>
      <c r="O19" s="117"/>
      <c r="P19" s="118"/>
      <c r="Q19" s="118"/>
      <c r="R19" s="118"/>
      <c r="S19" s="118"/>
      <c r="T19" s="118"/>
      <c r="U19" s="118"/>
      <c r="V19" s="118"/>
      <c r="W19" s="118"/>
      <c r="X19" s="118"/>
      <c r="Y19" s="118"/>
      <c r="Z19" s="118"/>
      <c r="AA19" s="118"/>
    </row>
    <row r="20" spans="1:27" ht="15" customHeight="1">
      <c r="A20" s="280"/>
      <c r="B20" s="271" t="s">
        <v>387</v>
      </c>
      <c r="C20" s="272" t="s">
        <v>386</v>
      </c>
      <c r="D20" s="82"/>
      <c r="E20" s="82"/>
      <c r="F20" s="83">
        <f>F21/N21</f>
        <v>1</v>
      </c>
      <c r="G20" s="83"/>
      <c r="H20" s="83"/>
      <c r="I20" s="83"/>
      <c r="J20" s="83"/>
      <c r="K20" s="83"/>
      <c r="L20" s="83"/>
      <c r="M20" s="83"/>
      <c r="N20" s="84">
        <f>N21/$N$53</f>
        <v>4.7645269650690505E-2</v>
      </c>
      <c r="O20" s="145"/>
      <c r="P20" s="118"/>
      <c r="Q20" s="118"/>
      <c r="R20" s="118"/>
      <c r="S20" s="118"/>
      <c r="T20" s="118"/>
      <c r="U20" s="118"/>
      <c r="V20" s="118"/>
      <c r="W20" s="118"/>
      <c r="X20" s="118"/>
      <c r="Y20" s="118"/>
      <c r="Z20" s="118"/>
      <c r="AA20" s="118"/>
    </row>
    <row r="21" spans="1:27" ht="15" customHeight="1">
      <c r="A21" s="280"/>
      <c r="B21" s="271"/>
      <c r="C21" s="272"/>
      <c r="D21" s="89"/>
      <c r="E21" s="89"/>
      <c r="F21" s="86">
        <f>7273.2+6745.34</f>
        <v>14018.54</v>
      </c>
      <c r="G21" s="86"/>
      <c r="H21" s="86"/>
      <c r="I21" s="86"/>
      <c r="J21" s="87"/>
      <c r="K21" s="87"/>
      <c r="L21" s="87"/>
      <c r="M21" s="87"/>
      <c r="N21" s="88">
        <f>SUM(D21:K21)</f>
        <v>14018.54</v>
      </c>
      <c r="O21" s="117"/>
      <c r="P21" s="118"/>
      <c r="Q21" s="118"/>
      <c r="R21" s="118"/>
      <c r="S21" s="118"/>
      <c r="T21" s="118"/>
      <c r="U21" s="118"/>
      <c r="V21" s="118"/>
      <c r="W21" s="118"/>
      <c r="X21" s="118"/>
      <c r="Y21" s="118"/>
      <c r="Z21" s="118"/>
      <c r="AA21" s="118"/>
    </row>
    <row r="22" spans="1:27" ht="15" customHeight="1">
      <c r="A22" s="280"/>
      <c r="B22" s="271" t="s">
        <v>388</v>
      </c>
      <c r="C22" s="272" t="s">
        <v>411</v>
      </c>
      <c r="D22" s="82"/>
      <c r="E22" s="83"/>
      <c r="F22" s="83"/>
      <c r="G22" s="83">
        <f>G23/N23</f>
        <v>1</v>
      </c>
      <c r="H22" s="83"/>
      <c r="I22" s="83"/>
      <c r="J22" s="83"/>
      <c r="K22" s="83"/>
      <c r="L22" s="83"/>
      <c r="M22" s="83"/>
      <c r="N22" s="84">
        <f>N23/$N$53</f>
        <v>6.2069864892220085E-2</v>
      </c>
      <c r="O22" s="145"/>
      <c r="P22" s="118"/>
      <c r="Q22" s="118"/>
      <c r="R22" s="118"/>
      <c r="S22" s="118"/>
      <c r="T22" s="118"/>
      <c r="U22" s="118"/>
      <c r="V22" s="118"/>
      <c r="W22" s="118"/>
      <c r="X22" s="118"/>
      <c r="Y22" s="118"/>
      <c r="Z22" s="118"/>
      <c r="AA22" s="118"/>
    </row>
    <row r="23" spans="1:27" ht="15" customHeight="1">
      <c r="A23" s="280"/>
      <c r="B23" s="271"/>
      <c r="C23" s="272"/>
      <c r="D23" s="89"/>
      <c r="E23" s="86"/>
      <c r="F23" s="86"/>
      <c r="G23" s="90">
        <f>1387.97+6542.84+10331.84</f>
        <v>18262.650000000001</v>
      </c>
      <c r="H23" s="86"/>
      <c r="I23" s="86"/>
      <c r="J23" s="86"/>
      <c r="K23" s="86"/>
      <c r="L23" s="87"/>
      <c r="M23" s="87"/>
      <c r="N23" s="88">
        <f>SUM(D23:M23)</f>
        <v>18262.650000000001</v>
      </c>
      <c r="O23" s="117"/>
      <c r="P23" s="118"/>
      <c r="Q23" s="118"/>
      <c r="R23" s="118"/>
      <c r="S23" s="118"/>
      <c r="T23" s="118"/>
      <c r="U23" s="118"/>
      <c r="V23" s="118"/>
      <c r="W23" s="118"/>
      <c r="X23" s="118"/>
      <c r="Y23" s="118"/>
      <c r="Z23" s="118"/>
      <c r="AA23" s="118"/>
    </row>
    <row r="24" spans="1:27" ht="15" customHeight="1">
      <c r="A24" s="280"/>
      <c r="B24" s="271" t="s">
        <v>389</v>
      </c>
      <c r="C24" s="272" t="s">
        <v>412</v>
      </c>
      <c r="D24" s="82"/>
      <c r="E24" s="83"/>
      <c r="F24" s="83"/>
      <c r="G24" s="83"/>
      <c r="H24" s="83">
        <f>H25/N25</f>
        <v>1</v>
      </c>
      <c r="I24" s="83"/>
      <c r="J24" s="83"/>
      <c r="K24" s="83"/>
      <c r="L24" s="83"/>
      <c r="M24" s="83"/>
      <c r="N24" s="84">
        <f>N25/$N$53</f>
        <v>9.3270468561519049E-2</v>
      </c>
      <c r="O24" s="145"/>
      <c r="P24" s="118"/>
      <c r="Q24" s="118"/>
      <c r="R24" s="118"/>
      <c r="S24" s="118"/>
      <c r="T24" s="118"/>
      <c r="U24" s="118"/>
      <c r="V24" s="118"/>
      <c r="W24" s="118"/>
      <c r="X24" s="118"/>
      <c r="Y24" s="118"/>
      <c r="Z24" s="118"/>
      <c r="AA24" s="118"/>
    </row>
    <row r="25" spans="1:27" ht="15" customHeight="1">
      <c r="A25" s="280"/>
      <c r="B25" s="271"/>
      <c r="C25" s="272"/>
      <c r="D25" s="89"/>
      <c r="E25" s="87"/>
      <c r="F25" s="87"/>
      <c r="G25" s="123"/>
      <c r="H25" s="86">
        <f>5562.97+12862.35+9017.4</f>
        <v>27442.720000000001</v>
      </c>
      <c r="I25" s="124"/>
      <c r="J25" s="86"/>
      <c r="K25" s="90"/>
      <c r="L25" s="87"/>
      <c r="M25" s="123"/>
      <c r="N25" s="88">
        <f>SUM(E25:M25)</f>
        <v>27442.720000000001</v>
      </c>
      <c r="O25" s="117"/>
      <c r="P25" s="118"/>
      <c r="Q25" s="118"/>
      <c r="R25" s="118"/>
      <c r="S25" s="118"/>
      <c r="T25" s="118"/>
      <c r="U25" s="118"/>
      <c r="V25" s="118"/>
      <c r="W25" s="118"/>
      <c r="X25" s="118"/>
      <c r="Y25" s="118"/>
      <c r="Z25" s="118"/>
      <c r="AA25" s="118"/>
    </row>
    <row r="26" spans="1:27" ht="15" customHeight="1">
      <c r="A26" s="280"/>
      <c r="B26" s="271" t="s">
        <v>391</v>
      </c>
      <c r="C26" s="272" t="s">
        <v>390</v>
      </c>
      <c r="D26" s="82"/>
      <c r="E26" s="83"/>
      <c r="F26" s="83"/>
      <c r="G26" s="83"/>
      <c r="H26" s="83">
        <f>H27/N27</f>
        <v>0.35129221997170018</v>
      </c>
      <c r="I26" s="83">
        <f>I27/N27</f>
        <v>0.64870778002829987</v>
      </c>
      <c r="J26" s="83"/>
      <c r="K26" s="83"/>
      <c r="L26" s="83"/>
      <c r="M26" s="83"/>
      <c r="N26" s="84">
        <f>N27/$N$53</f>
        <v>7.3043217060876603E-2</v>
      </c>
      <c r="O26" s="145"/>
      <c r="P26" s="118"/>
      <c r="Q26" s="118"/>
      <c r="R26" s="118"/>
      <c r="S26" s="118"/>
      <c r="T26" s="118"/>
      <c r="U26" s="118"/>
      <c r="V26" s="118"/>
      <c r="W26" s="118"/>
      <c r="X26" s="118"/>
      <c r="Y26" s="118"/>
      <c r="Z26" s="118"/>
      <c r="AA26" s="118"/>
    </row>
    <row r="27" spans="1:27" ht="15" customHeight="1">
      <c r="A27" s="280"/>
      <c r="B27" s="271"/>
      <c r="C27" s="272"/>
      <c r="D27" s="89"/>
      <c r="E27" s="87"/>
      <c r="F27" s="87"/>
      <c r="G27" s="87"/>
      <c r="H27" s="90">
        <f>7549.73</f>
        <v>7549.73</v>
      </c>
      <c r="I27" s="87">
        <f>1575.89+12365.69</f>
        <v>13941.58</v>
      </c>
      <c r="J27" s="123"/>
      <c r="K27" s="90"/>
      <c r="L27" s="123"/>
      <c r="M27" s="123"/>
      <c r="N27" s="88">
        <f>SUM(D27:M27)</f>
        <v>21491.309999999998</v>
      </c>
      <c r="O27" s="117"/>
      <c r="P27" s="118"/>
      <c r="Q27" s="118"/>
      <c r="R27" s="118"/>
      <c r="S27" s="118"/>
      <c r="T27" s="118"/>
      <c r="U27" s="118"/>
      <c r="V27" s="118"/>
      <c r="W27" s="118"/>
      <c r="X27" s="118"/>
      <c r="Y27" s="118"/>
      <c r="Z27" s="118"/>
      <c r="AA27" s="118"/>
    </row>
    <row r="28" spans="1:27" ht="15" customHeight="1">
      <c r="A28" s="280"/>
      <c r="B28" s="271" t="s">
        <v>393</v>
      </c>
      <c r="C28" s="272" t="s">
        <v>392</v>
      </c>
      <c r="D28" s="82"/>
      <c r="E28" s="83"/>
      <c r="F28" s="83"/>
      <c r="G28" s="83"/>
      <c r="H28" s="83"/>
      <c r="I28" s="83"/>
      <c r="J28" s="83">
        <f>J29/N29</f>
        <v>1</v>
      </c>
      <c r="K28" s="83"/>
      <c r="L28" s="83"/>
      <c r="M28" s="83"/>
      <c r="N28" s="84">
        <f>N29/$N$53</f>
        <v>4.8262037665299073E-2</v>
      </c>
      <c r="O28" s="145"/>
      <c r="P28" s="118"/>
      <c r="Q28" s="118"/>
      <c r="R28" s="118"/>
      <c r="S28" s="118"/>
      <c r="T28" s="118"/>
      <c r="U28" s="118"/>
      <c r="V28" s="118"/>
      <c r="W28" s="118"/>
      <c r="X28" s="118"/>
      <c r="Y28" s="118"/>
      <c r="Z28" s="118"/>
      <c r="AA28" s="118"/>
    </row>
    <row r="29" spans="1:27" ht="15" customHeight="1">
      <c r="A29" s="280"/>
      <c r="B29" s="271"/>
      <c r="C29" s="272"/>
      <c r="D29" s="89"/>
      <c r="E29" s="86"/>
      <c r="F29" s="86"/>
      <c r="G29" s="86"/>
      <c r="H29" s="86"/>
      <c r="I29" s="86"/>
      <c r="J29" s="86">
        <v>14200.01</v>
      </c>
      <c r="K29" s="90"/>
      <c r="L29" s="90"/>
      <c r="M29" s="90"/>
      <c r="N29" s="88">
        <f>SUM(D29:M29)</f>
        <v>14200.01</v>
      </c>
      <c r="O29" s="117"/>
      <c r="P29" s="118"/>
      <c r="Q29" s="118"/>
      <c r="R29" s="118"/>
      <c r="S29" s="118"/>
      <c r="T29" s="118"/>
      <c r="U29" s="118"/>
      <c r="V29" s="118"/>
      <c r="W29" s="118"/>
      <c r="X29" s="118"/>
      <c r="Y29" s="118"/>
      <c r="Z29" s="118"/>
      <c r="AA29" s="118"/>
    </row>
    <row r="30" spans="1:27" ht="15" customHeight="1">
      <c r="A30" s="280"/>
      <c r="B30" s="271" t="s">
        <v>395</v>
      </c>
      <c r="C30" s="272" t="s">
        <v>394</v>
      </c>
      <c r="D30" s="82"/>
      <c r="E30" s="83"/>
      <c r="F30" s="83"/>
      <c r="G30" s="83"/>
      <c r="H30" s="83"/>
      <c r="I30" s="83"/>
      <c r="J30" s="83">
        <f>J31/N31</f>
        <v>0.3301006970188699</v>
      </c>
      <c r="K30" s="83">
        <f>K31/N31</f>
        <v>0.6698993029811301</v>
      </c>
      <c r="L30" s="83"/>
      <c r="M30" s="83"/>
      <c r="N30" s="84">
        <f>N31/$N$53</f>
        <v>0.17377927379415348</v>
      </c>
      <c r="O30" s="145"/>
      <c r="P30" s="118"/>
      <c r="Q30" s="118"/>
      <c r="R30" s="118"/>
      <c r="S30" s="118"/>
      <c r="T30" s="118"/>
      <c r="U30" s="118"/>
      <c r="V30" s="118"/>
      <c r="W30" s="118"/>
      <c r="X30" s="118"/>
      <c r="Y30" s="118"/>
      <c r="Z30" s="118"/>
      <c r="AA30" s="118"/>
    </row>
    <row r="31" spans="1:27" ht="15" customHeight="1">
      <c r="A31" s="280"/>
      <c r="B31" s="271"/>
      <c r="C31" s="272"/>
      <c r="D31" s="89"/>
      <c r="E31" s="87"/>
      <c r="F31" s="87"/>
      <c r="G31" s="87"/>
      <c r="H31" s="87"/>
      <c r="I31" s="87"/>
      <c r="J31" s="90">
        <f>16878.25</f>
        <v>16878.25</v>
      </c>
      <c r="K31" s="90">
        <f>23507.93+10744.43</f>
        <v>34252.36</v>
      </c>
      <c r="L31" s="87"/>
      <c r="M31" s="90"/>
      <c r="N31" s="88">
        <f>SUM(H31:M31)</f>
        <v>51130.61</v>
      </c>
      <c r="O31" s="117"/>
      <c r="P31" s="118"/>
      <c r="Q31" s="118"/>
      <c r="R31" s="118"/>
      <c r="S31" s="118"/>
      <c r="T31" s="118"/>
      <c r="U31" s="118"/>
      <c r="V31" s="118"/>
      <c r="W31" s="118"/>
      <c r="X31" s="118"/>
      <c r="Y31" s="118"/>
      <c r="Z31" s="118"/>
      <c r="AA31" s="118"/>
    </row>
    <row r="32" spans="1:27" ht="15" customHeight="1">
      <c r="A32" s="280"/>
      <c r="B32" s="271" t="s">
        <v>396</v>
      </c>
      <c r="C32" s="272" t="s">
        <v>413</v>
      </c>
      <c r="D32" s="82"/>
      <c r="E32" s="83"/>
      <c r="F32" s="83">
        <f>(F33/N33)</f>
        <v>1</v>
      </c>
      <c r="G32" s="83"/>
      <c r="H32" s="83"/>
      <c r="I32" s="83"/>
      <c r="J32" s="83"/>
      <c r="K32" s="83"/>
      <c r="L32" s="83"/>
      <c r="M32" s="83"/>
      <c r="N32" s="84">
        <f>N33/$N$53</f>
        <v>2.4589490873927009E-3</v>
      </c>
      <c r="O32" s="145"/>
      <c r="P32" s="118"/>
      <c r="Q32" s="118"/>
      <c r="R32" s="118"/>
      <c r="S32" s="118"/>
      <c r="T32" s="118"/>
      <c r="U32" s="118"/>
      <c r="V32" s="118"/>
      <c r="W32" s="118"/>
      <c r="X32" s="118"/>
      <c r="Y32" s="118"/>
      <c r="Z32" s="118"/>
      <c r="AA32" s="118"/>
    </row>
    <row r="33" spans="1:27" ht="15" customHeight="1">
      <c r="A33" s="280"/>
      <c r="B33" s="271"/>
      <c r="C33" s="272"/>
      <c r="D33" s="89"/>
      <c r="E33" s="86"/>
      <c r="F33" s="86">
        <v>723.49</v>
      </c>
      <c r="G33" s="86"/>
      <c r="H33" s="86"/>
      <c r="I33" s="86"/>
      <c r="J33" s="86"/>
      <c r="K33" s="86"/>
      <c r="L33" s="86"/>
      <c r="M33" s="86"/>
      <c r="N33" s="88">
        <f>SUM(D33:K33)</f>
        <v>723.49</v>
      </c>
      <c r="O33" s="117"/>
      <c r="P33" s="118"/>
      <c r="Q33" s="118"/>
      <c r="R33" s="118"/>
      <c r="S33" s="118"/>
      <c r="T33" s="118"/>
      <c r="U33" s="118"/>
      <c r="V33" s="118"/>
      <c r="W33" s="118"/>
      <c r="X33" s="118"/>
      <c r="Y33" s="118"/>
      <c r="Z33" s="118"/>
      <c r="AA33" s="118"/>
    </row>
    <row r="34" spans="1:27" ht="15" customHeight="1">
      <c r="A34" s="280"/>
      <c r="B34" s="271" t="s">
        <v>397</v>
      </c>
      <c r="C34" s="272" t="s">
        <v>414</v>
      </c>
      <c r="D34" s="82"/>
      <c r="E34" s="83"/>
      <c r="F34" s="83"/>
      <c r="G34" s="83">
        <f>(G35/N35)</f>
        <v>1</v>
      </c>
      <c r="H34" s="83"/>
      <c r="I34" s="83"/>
      <c r="J34" s="83"/>
      <c r="K34" s="83"/>
      <c r="L34" s="83"/>
      <c r="M34" s="83"/>
      <c r="N34" s="84">
        <f>N35/$N$53</f>
        <v>6.9396988695679257E-2</v>
      </c>
      <c r="O34" s="145"/>
      <c r="P34" s="118"/>
      <c r="Q34" s="118"/>
      <c r="R34" s="118"/>
      <c r="S34" s="118"/>
      <c r="T34" s="118"/>
      <c r="U34" s="118"/>
      <c r="V34" s="118"/>
      <c r="W34" s="118"/>
      <c r="X34" s="118"/>
      <c r="Y34" s="118"/>
      <c r="Z34" s="118"/>
      <c r="AA34" s="118"/>
    </row>
    <row r="35" spans="1:27" ht="15" customHeight="1">
      <c r="A35" s="280"/>
      <c r="B35" s="271"/>
      <c r="C35" s="272"/>
      <c r="D35" s="89"/>
      <c r="E35" s="87"/>
      <c r="F35" s="87"/>
      <c r="G35" s="123">
        <v>20418.490000000002</v>
      </c>
      <c r="H35" s="87"/>
      <c r="I35" s="90"/>
      <c r="J35" s="90"/>
      <c r="K35" s="90"/>
      <c r="L35" s="123"/>
      <c r="M35" s="143"/>
      <c r="N35" s="100">
        <f>SUM(D35:M35)</f>
        <v>20418.490000000002</v>
      </c>
      <c r="O35" s="117"/>
      <c r="P35" s="118"/>
      <c r="Q35" s="118"/>
      <c r="R35" s="118"/>
      <c r="S35" s="118"/>
      <c r="T35" s="118"/>
      <c r="U35" s="118"/>
      <c r="V35" s="118"/>
      <c r="W35" s="118"/>
      <c r="X35" s="118"/>
      <c r="Y35" s="118"/>
      <c r="Z35" s="118"/>
      <c r="AA35" s="118"/>
    </row>
    <row r="36" spans="1:27" ht="15" customHeight="1">
      <c r="A36" s="280"/>
      <c r="B36" s="271" t="s">
        <v>398</v>
      </c>
      <c r="C36" s="272" t="s">
        <v>399</v>
      </c>
      <c r="D36" s="82"/>
      <c r="E36" s="83"/>
      <c r="F36" s="83"/>
      <c r="G36" s="83">
        <f>G37/N37</f>
        <v>0.34466470256991999</v>
      </c>
      <c r="H36" s="83">
        <f>H37/N37</f>
        <v>0.65533529743008001</v>
      </c>
      <c r="I36" s="83"/>
      <c r="J36" s="83"/>
      <c r="K36" s="126"/>
      <c r="L36" s="126"/>
      <c r="M36" s="126"/>
      <c r="N36" s="84">
        <f>N37/$N$53</f>
        <v>0.10411422705410227</v>
      </c>
      <c r="O36" s="145"/>
      <c r="P36" s="118"/>
      <c r="Q36" s="118"/>
      <c r="R36" s="118"/>
      <c r="S36" s="118"/>
      <c r="T36" s="118"/>
      <c r="U36" s="118"/>
      <c r="V36" s="118"/>
      <c r="W36" s="118"/>
      <c r="X36" s="118"/>
      <c r="Y36" s="118"/>
      <c r="Z36" s="118"/>
      <c r="AA36" s="118"/>
    </row>
    <row r="37" spans="1:27" ht="15" customHeight="1">
      <c r="A37" s="280"/>
      <c r="B37" s="271"/>
      <c r="C37" s="272"/>
      <c r="D37" s="91"/>
      <c r="E37" s="87"/>
      <c r="F37" s="87"/>
      <c r="G37" s="87">
        <v>10558.2</v>
      </c>
      <c r="H37" s="87">
        <v>20075.05</v>
      </c>
      <c r="I37" s="92"/>
      <c r="J37" s="90"/>
      <c r="K37" s="127"/>
      <c r="L37" s="127"/>
      <c r="M37" s="127"/>
      <c r="N37" s="88">
        <f>SUM(D37:M37)</f>
        <v>30633.25</v>
      </c>
      <c r="O37" s="145"/>
      <c r="P37" s="118"/>
      <c r="Q37" s="118"/>
      <c r="R37" s="118"/>
      <c r="S37" s="118"/>
      <c r="T37" s="118"/>
      <c r="U37" s="118"/>
      <c r="V37" s="118"/>
      <c r="W37" s="118"/>
      <c r="X37" s="118"/>
      <c r="Y37" s="118"/>
      <c r="Z37" s="118"/>
      <c r="AA37" s="118"/>
    </row>
    <row r="38" spans="1:27" ht="15" customHeight="1">
      <c r="A38" s="280"/>
      <c r="B38" s="271" t="s">
        <v>400</v>
      </c>
      <c r="C38" s="272" t="s">
        <v>415</v>
      </c>
      <c r="D38" s="82"/>
      <c r="E38" s="83"/>
      <c r="F38" s="83"/>
      <c r="G38" s="83"/>
      <c r="H38" s="83"/>
      <c r="I38" s="83"/>
      <c r="J38" s="83"/>
      <c r="K38" s="83"/>
      <c r="L38" s="144">
        <f>L39/N39</f>
        <v>1</v>
      </c>
      <c r="M38" s="144"/>
      <c r="N38" s="128">
        <f>N39/$N$53</f>
        <v>9.5060513075400366E-3</v>
      </c>
      <c r="O38" s="145"/>
      <c r="P38" s="118"/>
      <c r="Q38" s="118"/>
      <c r="R38" s="118"/>
      <c r="S38" s="118"/>
      <c r="T38" s="118"/>
      <c r="U38" s="118"/>
      <c r="V38" s="118"/>
      <c r="W38" s="118"/>
      <c r="X38" s="118"/>
      <c r="Y38" s="118"/>
      <c r="Z38" s="118"/>
      <c r="AA38" s="118"/>
    </row>
    <row r="39" spans="1:27" ht="15" customHeight="1">
      <c r="A39" s="280"/>
      <c r="B39" s="271"/>
      <c r="C39" s="272"/>
      <c r="D39" s="93"/>
      <c r="E39" s="86"/>
      <c r="F39" s="86"/>
      <c r="G39" s="86"/>
      <c r="H39" s="86"/>
      <c r="I39" s="86"/>
      <c r="J39" s="86"/>
      <c r="K39" s="86"/>
      <c r="L39" s="86">
        <f>2178.85+618.09</f>
        <v>2796.94</v>
      </c>
      <c r="M39" s="86"/>
      <c r="N39" s="88">
        <f>SUM(D39:M39)</f>
        <v>2796.94</v>
      </c>
      <c r="O39" s="145"/>
      <c r="P39" s="118"/>
      <c r="Q39" s="118"/>
      <c r="R39" s="118"/>
      <c r="S39" s="118"/>
      <c r="T39" s="118"/>
      <c r="U39" s="118"/>
      <c r="V39" s="118"/>
      <c r="W39" s="118"/>
      <c r="X39" s="118"/>
      <c r="Y39" s="118"/>
      <c r="Z39" s="118"/>
      <c r="AA39" s="118"/>
    </row>
    <row r="40" spans="1:27" ht="15" customHeight="1">
      <c r="A40" s="280"/>
      <c r="B40" s="271" t="s">
        <v>401</v>
      </c>
      <c r="C40" s="272" t="s">
        <v>416</v>
      </c>
      <c r="D40" s="82"/>
      <c r="E40" s="83">
        <f>E41/N41</f>
        <v>0.25395016806767506</v>
      </c>
      <c r="F40" s="83">
        <f>F41/N41</f>
        <v>0.31190966710572243</v>
      </c>
      <c r="G40" s="83"/>
      <c r="H40" s="83"/>
      <c r="I40" s="83"/>
      <c r="J40" s="83"/>
      <c r="K40" s="83">
        <f>K41/N41</f>
        <v>0.2408318238942285</v>
      </c>
      <c r="L40" s="83">
        <f>L41/N41</f>
        <v>0.19330834093237417</v>
      </c>
      <c r="M40" s="83"/>
      <c r="N40" s="84">
        <f>N41/$N$53</f>
        <v>5.7360852826311301E-2</v>
      </c>
      <c r="O40" s="145"/>
      <c r="P40" s="118"/>
      <c r="Q40" s="118"/>
      <c r="R40" s="118"/>
      <c r="S40" s="118"/>
      <c r="T40" s="118"/>
      <c r="U40" s="118"/>
      <c r="V40" s="118"/>
      <c r="W40" s="118"/>
      <c r="X40" s="118"/>
      <c r="Y40" s="118"/>
      <c r="Z40" s="118"/>
      <c r="AA40" s="118"/>
    </row>
    <row r="41" spans="1:27" ht="15" customHeight="1">
      <c r="A41" s="280"/>
      <c r="B41" s="271"/>
      <c r="C41" s="272"/>
      <c r="D41" s="85"/>
      <c r="E41" s="86">
        <v>4285.95</v>
      </c>
      <c r="F41" s="86">
        <v>5264.14</v>
      </c>
      <c r="G41" s="86"/>
      <c r="H41" s="86"/>
      <c r="I41" s="86"/>
      <c r="J41" s="86"/>
      <c r="K41" s="86">
        <f>4064.55</f>
        <v>4064.55</v>
      </c>
      <c r="L41" s="86">
        <v>3262.49</v>
      </c>
      <c r="M41" s="86"/>
      <c r="N41" s="88">
        <f>SUM(E41:M41)</f>
        <v>16877.129999999997</v>
      </c>
      <c r="O41" s="145"/>
      <c r="P41" s="118"/>
      <c r="Q41" s="118"/>
      <c r="R41" s="118"/>
      <c r="S41" s="118"/>
      <c r="T41" s="118"/>
      <c r="U41" s="118"/>
      <c r="V41" s="118"/>
      <c r="W41" s="118"/>
      <c r="X41" s="118"/>
      <c r="Y41" s="118"/>
      <c r="Z41" s="118"/>
      <c r="AA41" s="118"/>
    </row>
    <row r="42" spans="1:27" ht="15" customHeight="1">
      <c r="A42" s="280"/>
      <c r="B42" s="271" t="s">
        <v>402</v>
      </c>
      <c r="C42" s="272" t="s">
        <v>417</v>
      </c>
      <c r="D42" s="82"/>
      <c r="E42" s="83"/>
      <c r="F42" s="83"/>
      <c r="G42" s="83"/>
      <c r="H42" s="83"/>
      <c r="I42" s="83"/>
      <c r="J42" s="83"/>
      <c r="K42" s="83"/>
      <c r="L42" s="83"/>
      <c r="M42" s="83">
        <f>M43/N43</f>
        <v>1</v>
      </c>
      <c r="N42" s="84">
        <f>N43/$N$53</f>
        <v>8.6787657923812125E-3</v>
      </c>
      <c r="O42" s="145"/>
      <c r="P42" s="118"/>
      <c r="Q42" s="118"/>
      <c r="R42" s="118"/>
      <c r="S42" s="118"/>
      <c r="T42" s="118"/>
      <c r="U42" s="118"/>
      <c r="V42" s="118"/>
      <c r="W42" s="118"/>
      <c r="X42" s="118"/>
      <c r="Y42" s="118"/>
      <c r="Z42" s="118"/>
      <c r="AA42" s="118"/>
    </row>
    <row r="43" spans="1:27" ht="15" customHeight="1">
      <c r="A43" s="280"/>
      <c r="B43" s="271"/>
      <c r="C43" s="272"/>
      <c r="D43" s="85"/>
      <c r="E43" s="86"/>
      <c r="F43" s="86"/>
      <c r="G43" s="86"/>
      <c r="H43" s="86"/>
      <c r="I43" s="86"/>
      <c r="J43" s="86"/>
      <c r="K43" s="86"/>
      <c r="L43" s="86"/>
      <c r="M43" s="86">
        <v>2553.5300000000002</v>
      </c>
      <c r="N43" s="88">
        <f>SUM(F43:M43)</f>
        <v>2553.5300000000002</v>
      </c>
      <c r="O43" s="145"/>
      <c r="P43" s="118"/>
      <c r="Q43" s="118"/>
      <c r="R43" s="118"/>
      <c r="S43" s="118"/>
      <c r="T43" s="118"/>
      <c r="U43" s="118"/>
      <c r="V43" s="118"/>
      <c r="W43" s="118"/>
      <c r="X43" s="118"/>
      <c r="Y43" s="118"/>
      <c r="Z43" s="118"/>
      <c r="AA43" s="118"/>
    </row>
    <row r="44" spans="1:27" ht="15" customHeight="1">
      <c r="A44" s="280"/>
      <c r="B44" s="271" t="s">
        <v>403</v>
      </c>
      <c r="C44" s="272" t="s">
        <v>418</v>
      </c>
      <c r="D44" s="82"/>
      <c r="E44" s="83"/>
      <c r="F44" s="83"/>
      <c r="G44" s="83"/>
      <c r="H44" s="83"/>
      <c r="I44" s="83">
        <f>(I45/N45)</f>
        <v>0.56569664586168689</v>
      </c>
      <c r="J44" s="83">
        <f>(J45/N45)</f>
        <v>0.17831803020003537</v>
      </c>
      <c r="K44" s="83">
        <f>(K45/N45)</f>
        <v>0.25598532393827778</v>
      </c>
      <c r="L44" s="83"/>
      <c r="M44" s="83"/>
      <c r="N44" s="84">
        <f>N45/$N$53</f>
        <v>4.7298598920045912E-2</v>
      </c>
      <c r="O44" s="145"/>
      <c r="P44" s="118"/>
      <c r="Q44" s="118"/>
      <c r="R44" s="118"/>
      <c r="S44" s="118"/>
      <c r="T44" s="118"/>
      <c r="U44" s="118"/>
      <c r="V44" s="118"/>
      <c r="W44" s="118"/>
      <c r="X44" s="118"/>
      <c r="Y44" s="118"/>
      <c r="Z44" s="118"/>
      <c r="AA44" s="118"/>
    </row>
    <row r="45" spans="1:27" ht="15" customHeight="1">
      <c r="A45" s="280"/>
      <c r="B45" s="271"/>
      <c r="C45" s="272"/>
      <c r="D45" s="85"/>
      <c r="E45" s="86"/>
      <c r="F45" s="86"/>
      <c r="G45" s="86"/>
      <c r="H45" s="86"/>
      <c r="I45" s="86">
        <v>7872.54</v>
      </c>
      <c r="J45" s="86">
        <f>1758.15+723.42</f>
        <v>2481.5700000000002</v>
      </c>
      <c r="K45" s="86">
        <f>3483.13+79.3</f>
        <v>3562.4300000000003</v>
      </c>
      <c r="L45" s="86"/>
      <c r="M45" s="86"/>
      <c r="N45" s="88">
        <f>SUM(I45:M45)</f>
        <v>13916.54</v>
      </c>
      <c r="O45" s="145"/>
      <c r="P45" s="118"/>
      <c r="Q45" s="118"/>
      <c r="R45" s="118"/>
      <c r="S45" s="118"/>
      <c r="T45" s="118"/>
      <c r="U45" s="118"/>
      <c r="V45" s="118"/>
      <c r="W45" s="118"/>
      <c r="X45" s="118"/>
      <c r="Y45" s="118"/>
      <c r="Z45" s="118"/>
      <c r="AA45" s="118"/>
    </row>
    <row r="46" spans="1:27" ht="15" customHeight="1">
      <c r="A46" s="280"/>
      <c r="B46" s="276" t="s">
        <v>404</v>
      </c>
      <c r="C46" s="278" t="s">
        <v>419</v>
      </c>
      <c r="D46" s="94"/>
      <c r="E46" s="95"/>
      <c r="F46" s="95"/>
      <c r="G46" s="95"/>
      <c r="H46" s="96"/>
      <c r="I46" s="95"/>
      <c r="J46" s="95"/>
      <c r="K46" s="95"/>
      <c r="L46" s="95"/>
      <c r="M46" s="211">
        <f>M47/N47</f>
        <v>1</v>
      </c>
      <c r="N46" s="97">
        <f>N47/$N$53</f>
        <v>0.11580080327007025</v>
      </c>
      <c r="O46" s="145"/>
      <c r="P46" s="118"/>
      <c r="Q46" s="118"/>
      <c r="R46" s="118"/>
      <c r="S46" s="118"/>
      <c r="T46" s="118"/>
      <c r="U46" s="118"/>
      <c r="V46" s="118"/>
      <c r="W46" s="118"/>
      <c r="X46" s="118"/>
      <c r="Y46" s="118"/>
      <c r="Z46" s="118"/>
      <c r="AA46" s="118"/>
    </row>
    <row r="47" spans="1:27" ht="15" customHeight="1">
      <c r="A47" s="280"/>
      <c r="B47" s="277"/>
      <c r="C47" s="279"/>
      <c r="D47" s="98"/>
      <c r="E47" s="99"/>
      <c r="F47" s="99"/>
      <c r="G47" s="99"/>
      <c r="H47" s="99"/>
      <c r="I47" s="99"/>
      <c r="J47" s="99"/>
      <c r="K47" s="99"/>
      <c r="L47" s="99"/>
      <c r="M47" s="99">
        <v>34071.760000000002</v>
      </c>
      <c r="N47" s="100">
        <f>SUM(D47:M47)</f>
        <v>34071.760000000002</v>
      </c>
      <c r="O47" s="145"/>
      <c r="P47" s="118"/>
      <c r="Q47" s="118"/>
      <c r="R47" s="118"/>
      <c r="S47" s="118"/>
      <c r="T47" s="118"/>
      <c r="U47" s="118"/>
      <c r="V47" s="118"/>
      <c r="W47" s="118"/>
      <c r="X47" s="118"/>
      <c r="Y47" s="118"/>
      <c r="Z47" s="118"/>
      <c r="AA47" s="118"/>
    </row>
    <row r="48" spans="1:27" ht="15" customHeight="1">
      <c r="A48" s="280"/>
      <c r="B48" s="271" t="s">
        <v>405</v>
      </c>
      <c r="C48" s="272" t="s">
        <v>420</v>
      </c>
      <c r="D48" s="82"/>
      <c r="E48" s="83"/>
      <c r="F48" s="83"/>
      <c r="G48" s="83">
        <f>(G49/N49)</f>
        <v>1</v>
      </c>
      <c r="H48" s="83"/>
      <c r="I48" s="83"/>
      <c r="J48" s="83"/>
      <c r="K48" s="83"/>
      <c r="L48" s="83"/>
      <c r="M48" s="83"/>
      <c r="N48" s="84">
        <f>N49/$N$53</f>
        <v>1.1030552839212893E-2</v>
      </c>
      <c r="O48" s="145"/>
      <c r="P48" s="118"/>
      <c r="Q48" s="118"/>
      <c r="R48" s="118"/>
      <c r="S48" s="118"/>
      <c r="T48" s="118"/>
      <c r="U48" s="118"/>
      <c r="V48" s="118"/>
      <c r="W48" s="118"/>
      <c r="X48" s="118"/>
      <c r="Y48" s="118"/>
      <c r="Z48" s="118"/>
      <c r="AA48" s="118"/>
    </row>
    <row r="49" spans="1:27" ht="15" customHeight="1" thickBot="1">
      <c r="A49" s="280"/>
      <c r="B49" s="273"/>
      <c r="C49" s="274"/>
      <c r="D49" s="85"/>
      <c r="E49" s="86"/>
      <c r="F49" s="86"/>
      <c r="G49" s="86">
        <f>2320.19+925.3</f>
        <v>3245.49</v>
      </c>
      <c r="H49" s="86"/>
      <c r="I49" s="86"/>
      <c r="J49" s="86"/>
      <c r="K49" s="86"/>
      <c r="L49" s="86"/>
      <c r="M49" s="86"/>
      <c r="N49" s="88">
        <f>SUM(D49:M49)</f>
        <v>3245.49</v>
      </c>
      <c r="O49" s="145"/>
      <c r="P49" s="118"/>
      <c r="Q49" s="118"/>
      <c r="R49" s="118"/>
      <c r="S49" s="118"/>
      <c r="T49" s="118"/>
      <c r="U49" s="118"/>
      <c r="V49" s="118"/>
      <c r="W49" s="118"/>
      <c r="X49" s="118"/>
      <c r="Y49" s="118"/>
      <c r="Z49" s="118"/>
      <c r="AA49" s="118"/>
    </row>
    <row r="50" spans="1:27" ht="15" customHeight="1">
      <c r="A50" s="280"/>
      <c r="B50" s="271" t="s">
        <v>405</v>
      </c>
      <c r="C50" s="272" t="s">
        <v>406</v>
      </c>
      <c r="D50" s="82"/>
      <c r="E50" s="83"/>
      <c r="F50" s="83"/>
      <c r="G50" s="83"/>
      <c r="H50" s="83"/>
      <c r="I50" s="83"/>
      <c r="J50" s="83"/>
      <c r="K50" s="83"/>
      <c r="L50" s="83"/>
      <c r="M50" s="83">
        <f>M51/N51</f>
        <v>1</v>
      </c>
      <c r="N50" s="84">
        <f>N51/$N$53</f>
        <v>9.3090267756236935E-3</v>
      </c>
      <c r="O50" s="145"/>
      <c r="P50" s="118"/>
      <c r="Q50" s="118"/>
      <c r="R50" s="118"/>
      <c r="S50" s="118"/>
      <c r="T50" s="118"/>
      <c r="U50" s="118"/>
      <c r="V50" s="118"/>
      <c r="W50" s="118"/>
      <c r="X50" s="118"/>
      <c r="Y50" s="118"/>
      <c r="Z50" s="118"/>
      <c r="AA50" s="118"/>
    </row>
    <row r="51" spans="1:27" ht="15" customHeight="1" thickBot="1">
      <c r="A51" s="281"/>
      <c r="B51" s="273"/>
      <c r="C51" s="274"/>
      <c r="D51" s="85"/>
      <c r="E51" s="86"/>
      <c r="F51" s="86"/>
      <c r="G51" s="86"/>
      <c r="H51" s="86"/>
      <c r="I51" s="86"/>
      <c r="J51" s="86"/>
      <c r="K51" s="86"/>
      <c r="L51" s="86"/>
      <c r="M51" s="86">
        <f>1369.49+1369.48</f>
        <v>2738.9700000000003</v>
      </c>
      <c r="N51" s="88">
        <f>SUM(G51:M51)</f>
        <v>2738.9700000000003</v>
      </c>
      <c r="O51" s="145"/>
      <c r="P51" s="118"/>
      <c r="Q51" s="118"/>
      <c r="R51" s="118"/>
      <c r="S51" s="118"/>
      <c r="T51" s="118"/>
      <c r="U51" s="118"/>
      <c r="V51" s="118"/>
      <c r="W51" s="118"/>
      <c r="X51" s="118"/>
      <c r="Y51" s="118"/>
      <c r="Z51" s="118"/>
      <c r="AA51" s="118"/>
    </row>
    <row r="52" spans="1:27" ht="15.95" customHeight="1">
      <c r="A52" s="275" t="s">
        <v>407</v>
      </c>
      <c r="B52" s="267"/>
      <c r="C52" s="267"/>
      <c r="D52" s="101">
        <f>D53/N53</f>
        <v>4.7387237867646023E-2</v>
      </c>
      <c r="E52" s="102">
        <f>E53/N53</f>
        <v>3.4154612154982764E-2</v>
      </c>
      <c r="F52" s="103">
        <f>F53/N53</f>
        <v>6.7995623248038303E-2</v>
      </c>
      <c r="G52" s="103">
        <f>G53/N53</f>
        <v>0.17838190552801148</v>
      </c>
      <c r="H52" s="103">
        <f>H53/N53</f>
        <v>0.18715971038991217</v>
      </c>
      <c r="I52" s="103">
        <f>I53/N53</f>
        <v>7.4140361948713679E-2</v>
      </c>
      <c r="J52" s="103">
        <f>J53/N53</f>
        <v>0.11406089006282628</v>
      </c>
      <c r="K52" s="103">
        <f>K53/N53</f>
        <v>0.14233668035993399</v>
      </c>
      <c r="L52" s="103">
        <f>L53/N53</f>
        <v>2.0594382601860362E-2</v>
      </c>
      <c r="M52" s="103">
        <f>M53/N53</f>
        <v>0.13378859583807517</v>
      </c>
      <c r="N52" s="125">
        <f>(D52+E52+F52+G52+H52+I52+J52+K52)</f>
        <v>0.84561702156006457</v>
      </c>
      <c r="O52" s="146"/>
      <c r="P52" s="119"/>
    </row>
    <row r="53" spans="1:27" ht="15.95" customHeight="1">
      <c r="A53" s="267" t="s">
        <v>408</v>
      </c>
      <c r="B53" s="267"/>
      <c r="C53" s="267"/>
      <c r="D53" s="104">
        <f>D19+D17+D21+D23+D25+D27+D29+D31+D33+D35+D37+D39+D41+D43+D45+D47+D49+D51</f>
        <v>13942.62</v>
      </c>
      <c r="E53" s="105">
        <f>(E19+E21+E23+E25+E27+E29+E31+E33+E35+E37+E39+E41+E43+E45+E47+E49+E51)</f>
        <v>10049.220000000001</v>
      </c>
      <c r="F53" s="106">
        <f>F19+F21+F23+F25+F27+F29+F31+F33+F35+F37+F39+F41+F43+F45+F47+F49</f>
        <v>20006.170000000002</v>
      </c>
      <c r="G53" s="106">
        <f>G21+G23+G41+G17+G19+G25+G27+G29+G31+G33+G35+G37+G39+G43+G45+G47+G49+G51</f>
        <v>52484.829999999994</v>
      </c>
      <c r="H53" s="107">
        <f>H23+H25+H29+H41+H17+H21+H27+H31+H33+H35+H37+H39+H45+H47+H49+H51</f>
        <v>55067.5</v>
      </c>
      <c r="I53" s="106">
        <f>I21+I25+I29+I35+I45+I17+I19+I23+I27+I31+I33+I37+I41+I47+I49+I51</f>
        <v>21814.12</v>
      </c>
      <c r="J53" s="106">
        <f>J25+J29+J31+J35+J37+J45+J17+J19+J21+J23+J27+J33+J41+J47+J49+J51</f>
        <v>33559.83</v>
      </c>
      <c r="K53" s="106">
        <f>K25+K31+K33+K23+K37+K39+K41+K43+K49+K45</f>
        <v>41879.340000000004</v>
      </c>
      <c r="L53" s="106">
        <f>L41+L39</f>
        <v>6059.43</v>
      </c>
      <c r="M53" s="106">
        <f>M51+M47+M43</f>
        <v>39364.26</v>
      </c>
      <c r="N53" s="108">
        <f>SUM(D53:M53)</f>
        <v>294227.31999999995</v>
      </c>
      <c r="O53" s="146"/>
    </row>
    <row r="54" spans="1:27" ht="9.75" customHeight="1">
      <c r="A54" s="109"/>
      <c r="B54" s="110"/>
      <c r="C54" s="110"/>
      <c r="D54" s="110"/>
      <c r="E54" s="110"/>
      <c r="F54" s="110"/>
      <c r="G54" s="110"/>
      <c r="H54" s="110"/>
      <c r="I54" s="110"/>
      <c r="J54" s="110"/>
      <c r="K54" s="110"/>
      <c r="L54" s="110"/>
      <c r="M54" s="110"/>
      <c r="N54" s="111"/>
    </row>
    <row r="55" spans="1:27" ht="15" customHeight="1">
      <c r="A55" s="112"/>
      <c r="B55" s="113"/>
      <c r="C55" s="113"/>
      <c r="D55" s="113"/>
      <c r="E55" s="113"/>
      <c r="F55" s="113"/>
      <c r="G55" s="113"/>
      <c r="H55" s="113"/>
      <c r="I55" s="113"/>
      <c r="J55" s="284" t="s">
        <v>409</v>
      </c>
      <c r="K55" s="284"/>
      <c r="L55" s="284"/>
      <c r="M55" s="284"/>
      <c r="N55" s="285"/>
    </row>
    <row r="56" spans="1:27" ht="15" customHeight="1">
      <c r="A56" s="112"/>
      <c r="B56" s="113"/>
      <c r="C56" s="113"/>
      <c r="D56" s="113"/>
      <c r="E56" s="113"/>
      <c r="F56" s="113"/>
      <c r="G56" s="113"/>
      <c r="H56" s="113"/>
      <c r="I56" s="113"/>
      <c r="J56" s="286" t="s">
        <v>46</v>
      </c>
      <c r="K56" s="286"/>
      <c r="L56" s="286"/>
      <c r="M56" s="286"/>
      <c r="N56" s="287"/>
    </row>
    <row r="57" spans="1:27" ht="15" customHeight="1">
      <c r="A57" s="114"/>
      <c r="B57" s="115"/>
      <c r="C57" s="115"/>
      <c r="D57" s="115"/>
      <c r="E57" s="115"/>
      <c r="F57" s="115"/>
      <c r="G57" s="115"/>
      <c r="H57" s="115"/>
      <c r="I57" s="115"/>
      <c r="J57" s="288" t="s">
        <v>445</v>
      </c>
      <c r="K57" s="288"/>
      <c r="L57" s="288"/>
      <c r="M57" s="288"/>
      <c r="N57" s="289"/>
    </row>
  </sheetData>
  <mergeCells count="50">
    <mergeCell ref="A53:C53"/>
    <mergeCell ref="J55:N55"/>
    <mergeCell ref="J56:N56"/>
    <mergeCell ref="J57:N57"/>
    <mergeCell ref="B48:B49"/>
    <mergeCell ref="C48:C49"/>
    <mergeCell ref="A52:C52"/>
    <mergeCell ref="B44:B45"/>
    <mergeCell ref="C44:C45"/>
    <mergeCell ref="B46:B47"/>
    <mergeCell ref="C46:C47"/>
    <mergeCell ref="B50:B51"/>
    <mergeCell ref="C50:C51"/>
    <mergeCell ref="A16:A51"/>
    <mergeCell ref="B16:B17"/>
    <mergeCell ref="C16:C17"/>
    <mergeCell ref="B18:B19"/>
    <mergeCell ref="C18:C19"/>
    <mergeCell ref="B38:B39"/>
    <mergeCell ref="C38:C39"/>
    <mergeCell ref="B42:B43"/>
    <mergeCell ref="C42:C43"/>
    <mergeCell ref="B32:B33"/>
    <mergeCell ref="C32:C33"/>
    <mergeCell ref="B34:B35"/>
    <mergeCell ref="C34:C35"/>
    <mergeCell ref="B36:B37"/>
    <mergeCell ref="C36:C37"/>
    <mergeCell ref="B28:B29"/>
    <mergeCell ref="C28:C29"/>
    <mergeCell ref="B30:B31"/>
    <mergeCell ref="C30:C31"/>
    <mergeCell ref="B40:B41"/>
    <mergeCell ref="C40:C41"/>
    <mergeCell ref="B22:B23"/>
    <mergeCell ref="C22:C23"/>
    <mergeCell ref="B24:B25"/>
    <mergeCell ref="C24:C25"/>
    <mergeCell ref="B26:B27"/>
    <mergeCell ref="C26:C27"/>
    <mergeCell ref="A13:N13"/>
    <mergeCell ref="N14:N15"/>
    <mergeCell ref="A15:C15"/>
    <mergeCell ref="B20:B21"/>
    <mergeCell ref="C20:C21"/>
    <mergeCell ref="A12:N12"/>
    <mergeCell ref="A1:N7"/>
    <mergeCell ref="A8:N8"/>
    <mergeCell ref="A10:N10"/>
    <mergeCell ref="A11:N11"/>
  </mergeCells>
  <pageMargins left="0.9055118110236221" right="0.70866141732283472" top="0.74803149606299213" bottom="0.74803149606299213" header="0.31496062992125984" footer="0.31496062992125984"/>
  <pageSetup paperSize="9" scale="61" firstPageNumber="0" fitToHeight="0" orientation="landscape" horizontalDpi="300" verticalDpi="300" r:id="rId1"/>
  <headerFooter>
    <oddFooter>&amp;C&amp;11Prefeitura Municipal da Estância Turística de Paraguaçu Paulista - Av. Siqueira Campos 1430 CEP 19.703-061 - Fone: (18)3361-9100 - Fax: (18) 3361-1331 – Estância Turística de Paraguaçu Paulista - SP&amp;R&amp;P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81"/>
  <sheetViews>
    <sheetView showGridLines="0" tabSelected="1" view="pageBreakPreview" topLeftCell="A43" zoomScale="98" zoomScaleNormal="120" zoomScaleSheetLayoutView="70" workbookViewId="0">
      <selection activeCell="J47" sqref="J47"/>
    </sheetView>
  </sheetViews>
  <sheetFormatPr defaultRowHeight="15"/>
  <cols>
    <col min="1" max="1" width="6.140625" style="147" customWidth="1"/>
    <col min="2" max="2" width="11.42578125" style="147" customWidth="1"/>
    <col min="3" max="3" width="68.85546875" style="147" customWidth="1"/>
    <col min="4" max="4" width="3.7109375" style="147" customWidth="1"/>
    <col min="5" max="5" width="5.7109375" style="147" customWidth="1"/>
    <col min="6" max="6" width="6.7109375" style="147" customWidth="1"/>
    <col min="7" max="7" width="8.7109375" style="147" customWidth="1"/>
    <col min="8" max="8" width="15.7109375" style="147" customWidth="1"/>
    <col min="9" max="9" width="8.140625" style="147" customWidth="1"/>
    <col min="10" max="10" width="32.5703125" style="147" customWidth="1"/>
    <col min="11" max="11" width="33.5703125" style="147" customWidth="1"/>
    <col min="12" max="12" width="9.140625" style="158"/>
    <col min="13" max="14" width="9.140625" style="159"/>
    <col min="15" max="16384" width="9.140625" style="147"/>
  </cols>
  <sheetData>
    <row r="1" spans="1:14" ht="20.100000000000001" customHeight="1">
      <c r="A1" s="334"/>
      <c r="B1" s="335"/>
      <c r="C1" s="338" t="s">
        <v>633</v>
      </c>
      <c r="D1" s="338"/>
      <c r="E1" s="338"/>
      <c r="F1" s="338"/>
      <c r="G1" s="338"/>
      <c r="H1" s="338"/>
      <c r="I1" s="338"/>
      <c r="J1" s="339"/>
      <c r="K1" s="166"/>
      <c r="L1" s="167"/>
      <c r="M1" s="168"/>
      <c r="N1" s="168"/>
    </row>
    <row r="2" spans="1:14" s="148" customFormat="1" ht="30" customHeight="1">
      <c r="A2" s="336"/>
      <c r="B2" s="337"/>
      <c r="C2" s="340"/>
      <c r="D2" s="340"/>
      <c r="E2" s="340"/>
      <c r="F2" s="340"/>
      <c r="G2" s="340"/>
      <c r="H2" s="340"/>
      <c r="I2" s="340"/>
      <c r="J2" s="341"/>
      <c r="K2" s="169"/>
      <c r="L2" s="170"/>
      <c r="M2" s="171"/>
      <c r="N2" s="171"/>
    </row>
    <row r="3" spans="1:14" ht="20.100000000000001" customHeight="1">
      <c r="A3" s="336"/>
      <c r="B3" s="337"/>
      <c r="C3" s="340"/>
      <c r="D3" s="340"/>
      <c r="E3" s="340"/>
      <c r="F3" s="340"/>
      <c r="G3" s="340"/>
      <c r="H3" s="340"/>
      <c r="I3" s="340"/>
      <c r="J3" s="341"/>
      <c r="K3" s="166"/>
      <c r="L3" s="167"/>
      <c r="M3" s="168"/>
      <c r="N3" s="168"/>
    </row>
    <row r="4" spans="1:14" ht="20.100000000000001" customHeight="1">
      <c r="A4" s="336"/>
      <c r="B4" s="337"/>
      <c r="C4" s="340"/>
      <c r="D4" s="340"/>
      <c r="E4" s="340"/>
      <c r="F4" s="340"/>
      <c r="G4" s="340"/>
      <c r="H4" s="340"/>
      <c r="I4" s="340"/>
      <c r="J4" s="341"/>
      <c r="K4" s="166"/>
      <c r="L4" s="167"/>
      <c r="M4" s="168"/>
      <c r="N4" s="168"/>
    </row>
    <row r="5" spans="1:14" ht="9.9499999999999993" customHeight="1">
      <c r="A5" s="172"/>
      <c r="B5" s="173"/>
      <c r="C5" s="173"/>
      <c r="D5" s="173"/>
      <c r="E5" s="173"/>
      <c r="F5" s="173"/>
      <c r="G5" s="342"/>
      <c r="H5" s="342"/>
      <c r="I5" s="342"/>
      <c r="J5" s="343"/>
      <c r="K5" s="166"/>
      <c r="L5" s="167"/>
      <c r="M5" s="168"/>
      <c r="N5" s="168"/>
    </row>
    <row r="6" spans="1:14" ht="24.95" customHeight="1">
      <c r="A6" s="344" t="s">
        <v>634</v>
      </c>
      <c r="B6" s="344"/>
      <c r="C6" s="174" t="s">
        <v>695</v>
      </c>
      <c r="D6" s="160"/>
      <c r="E6" s="175"/>
      <c r="F6" s="345" t="s">
        <v>635</v>
      </c>
      <c r="G6" s="345"/>
      <c r="H6" s="345"/>
      <c r="I6" s="176"/>
      <c r="J6" s="177" t="s">
        <v>636</v>
      </c>
      <c r="K6" s="178"/>
      <c r="L6" s="167"/>
      <c r="M6" s="168"/>
      <c r="N6" s="168"/>
    </row>
    <row r="7" spans="1:14" ht="30" customHeight="1">
      <c r="A7" s="344" t="s">
        <v>637</v>
      </c>
      <c r="B7" s="344"/>
      <c r="C7" s="179" t="s">
        <v>696</v>
      </c>
      <c r="D7" s="160"/>
      <c r="E7" s="175"/>
      <c r="F7" s="346" t="s">
        <v>708</v>
      </c>
      <c r="G7" s="346"/>
      <c r="H7" s="346"/>
      <c r="I7" s="180"/>
      <c r="J7" s="181" t="s">
        <v>697</v>
      </c>
      <c r="K7" s="182"/>
      <c r="L7" s="167"/>
      <c r="M7" s="168"/>
      <c r="N7" s="168"/>
    </row>
    <row r="8" spans="1:14" ht="24.95" customHeight="1">
      <c r="A8" s="344" t="s">
        <v>638</v>
      </c>
      <c r="B8" s="344"/>
      <c r="C8" s="183" t="s">
        <v>698</v>
      </c>
      <c r="D8" s="160"/>
      <c r="E8" s="356" t="s">
        <v>439</v>
      </c>
      <c r="F8" s="357" t="s">
        <v>639</v>
      </c>
      <c r="G8" s="358"/>
      <c r="H8" s="359" t="s">
        <v>640</v>
      </c>
      <c r="I8" s="360"/>
      <c r="J8" s="361"/>
      <c r="K8" s="175"/>
      <c r="L8" s="167"/>
      <c r="M8" s="168"/>
      <c r="N8" s="168"/>
    </row>
    <row r="9" spans="1:14" ht="24.95" customHeight="1">
      <c r="A9" s="344" t="s">
        <v>641</v>
      </c>
      <c r="B9" s="344"/>
      <c r="C9" s="184"/>
      <c r="D9" s="160"/>
      <c r="E9" s="356"/>
      <c r="F9" s="357" t="s">
        <v>642</v>
      </c>
      <c r="G9" s="358"/>
      <c r="H9" s="362" t="str">
        <f>IF(G13="","Cálculo automático",(CONCATENATE(G13," dias a partir da data de assinatura do convênio")))</f>
        <v>690 dias a partir da data de assinatura do convênio</v>
      </c>
      <c r="I9" s="362"/>
      <c r="J9" s="363"/>
      <c r="K9" s="175"/>
      <c r="L9" s="167"/>
      <c r="M9" s="168"/>
      <c r="N9" s="168"/>
    </row>
    <row r="10" spans="1:14">
      <c r="A10" s="172"/>
      <c r="B10" s="185"/>
      <c r="C10" s="185"/>
      <c r="D10" s="173"/>
      <c r="E10" s="173"/>
      <c r="F10" s="173"/>
      <c r="G10" s="173"/>
      <c r="H10" s="173"/>
      <c r="I10" s="173"/>
      <c r="J10" s="186"/>
      <c r="K10" s="166"/>
      <c r="L10" s="167"/>
      <c r="M10" s="168"/>
      <c r="N10" s="168"/>
    </row>
    <row r="11" spans="1:14">
      <c r="A11" s="325" t="s">
        <v>440</v>
      </c>
      <c r="B11" s="327" t="s">
        <v>382</v>
      </c>
      <c r="C11" s="328"/>
      <c r="D11" s="325" t="s">
        <v>441</v>
      </c>
      <c r="E11" s="332" t="s">
        <v>643</v>
      </c>
      <c r="F11" s="332"/>
      <c r="G11" s="332"/>
      <c r="H11" s="332"/>
      <c r="I11" s="333"/>
      <c r="J11" s="347" t="s">
        <v>381</v>
      </c>
      <c r="K11" s="166"/>
      <c r="L11" s="167"/>
      <c r="M11" s="168"/>
      <c r="N11" s="168"/>
    </row>
    <row r="12" spans="1:14" ht="5.45" customHeight="1">
      <c r="A12" s="326"/>
      <c r="B12" s="329"/>
      <c r="C12" s="330"/>
      <c r="D12" s="326"/>
      <c r="E12" s="350"/>
      <c r="F12" s="350"/>
      <c r="G12" s="350"/>
      <c r="H12" s="350"/>
      <c r="I12" s="351"/>
      <c r="J12" s="348"/>
      <c r="K12" s="166"/>
      <c r="L12" s="167"/>
      <c r="M12" s="168"/>
      <c r="N12" s="168"/>
    </row>
    <row r="13" spans="1:14" ht="15" customHeight="1">
      <c r="A13" s="326"/>
      <c r="B13" s="329"/>
      <c r="C13" s="330"/>
      <c r="D13" s="326"/>
      <c r="E13" s="352" t="s">
        <v>644</v>
      </c>
      <c r="F13" s="353"/>
      <c r="G13" s="149">
        <f>IF(H15="XXX","",SUM(H14:H17))</f>
        <v>690</v>
      </c>
      <c r="H13" s="354" t="s">
        <v>645</v>
      </c>
      <c r="I13" s="355"/>
      <c r="J13" s="348"/>
      <c r="K13" s="166"/>
      <c r="L13" s="167"/>
      <c r="M13" s="168"/>
      <c r="N13" s="168"/>
    </row>
    <row r="14" spans="1:14" ht="20.100000000000001" customHeight="1">
      <c r="A14" s="326"/>
      <c r="B14" s="329"/>
      <c r="C14" s="330"/>
      <c r="D14" s="331"/>
      <c r="E14" s="321" t="s">
        <v>646</v>
      </c>
      <c r="F14" s="322"/>
      <c r="G14" s="322"/>
      <c r="H14" s="150">
        <v>180</v>
      </c>
      <c r="I14" s="162"/>
      <c r="J14" s="349"/>
      <c r="K14" s="166"/>
      <c r="L14" s="167"/>
      <c r="M14" s="168"/>
      <c r="N14" s="168"/>
    </row>
    <row r="15" spans="1:14" ht="20.100000000000001" customHeight="1">
      <c r="A15" s="326"/>
      <c r="B15" s="329"/>
      <c r="C15" s="330"/>
      <c r="D15" s="331"/>
      <c r="E15" s="321" t="s">
        <v>647</v>
      </c>
      <c r="F15" s="322"/>
      <c r="G15" s="322"/>
      <c r="H15" s="151">
        <v>300</v>
      </c>
      <c r="I15" s="152"/>
      <c r="J15" s="349"/>
      <c r="K15" s="166"/>
      <c r="L15" s="167"/>
      <c r="M15" s="168"/>
      <c r="N15" s="168"/>
    </row>
    <row r="16" spans="1:14" ht="20.100000000000001" customHeight="1">
      <c r="A16" s="326"/>
      <c r="B16" s="329"/>
      <c r="C16" s="330"/>
      <c r="D16" s="331"/>
      <c r="E16" s="321" t="s">
        <v>648</v>
      </c>
      <c r="F16" s="322"/>
      <c r="G16" s="322"/>
      <c r="H16" s="150">
        <v>30</v>
      </c>
      <c r="I16" s="153"/>
      <c r="J16" s="349"/>
      <c r="K16" s="166"/>
      <c r="L16" s="167"/>
      <c r="M16" s="168"/>
      <c r="N16" s="168"/>
    </row>
    <row r="17" spans="1:14" ht="20.100000000000001" customHeight="1">
      <c r="A17" s="187"/>
      <c r="B17" s="188"/>
      <c r="C17" s="189"/>
      <c r="D17" s="190"/>
      <c r="E17" s="323" t="s">
        <v>649</v>
      </c>
      <c r="F17" s="324"/>
      <c r="G17" s="324"/>
      <c r="H17" s="154">
        <v>180</v>
      </c>
      <c r="I17" s="155"/>
      <c r="J17" s="191"/>
      <c r="K17" s="166"/>
      <c r="L17" s="167"/>
      <c r="M17" s="168"/>
      <c r="N17" s="168"/>
    </row>
    <row r="18" spans="1:14" ht="24.95" customHeight="1">
      <c r="A18" s="307">
        <v>1</v>
      </c>
      <c r="B18" s="309" t="s">
        <v>384</v>
      </c>
      <c r="C18" s="310"/>
      <c r="D18" s="192" t="s">
        <v>442</v>
      </c>
      <c r="E18" s="193"/>
      <c r="F18" s="313">
        <f>IFERROR($E19/J19,0)</f>
        <v>1</v>
      </c>
      <c r="G18" s="313"/>
      <c r="H18" s="313"/>
      <c r="I18" s="314"/>
      <c r="J18" s="157">
        <f>F18</f>
        <v>1</v>
      </c>
    </row>
    <row r="19" spans="1:14" ht="24.95" customHeight="1">
      <c r="A19" s="308"/>
      <c r="B19" s="311"/>
      <c r="C19" s="312"/>
      <c r="D19" s="194" t="s">
        <v>443</v>
      </c>
      <c r="E19" s="315">
        <v>13942.62</v>
      </c>
      <c r="F19" s="316"/>
      <c r="G19" s="316"/>
      <c r="H19" s="316"/>
      <c r="I19" s="317"/>
      <c r="J19" s="195">
        <f>IFERROR(E19+0,0)</f>
        <v>13942.62</v>
      </c>
    </row>
    <row r="20" spans="1:14" ht="24.95" customHeight="1">
      <c r="A20" s="307">
        <v>2</v>
      </c>
      <c r="B20" s="309" t="s">
        <v>410</v>
      </c>
      <c r="C20" s="310"/>
      <c r="D20" s="192" t="s">
        <v>442</v>
      </c>
      <c r="E20" s="156"/>
      <c r="F20" s="313">
        <f>IFERROR($E21/J21,0)</f>
        <v>1</v>
      </c>
      <c r="G20" s="313"/>
      <c r="H20" s="313"/>
      <c r="I20" s="314"/>
      <c r="J20" s="157">
        <f>F20</f>
        <v>1</v>
      </c>
    </row>
    <row r="21" spans="1:14" ht="24.95" customHeight="1">
      <c r="A21" s="308"/>
      <c r="B21" s="311"/>
      <c r="C21" s="312"/>
      <c r="D21" s="194" t="s">
        <v>443</v>
      </c>
      <c r="E21" s="315">
        <v>5763.27</v>
      </c>
      <c r="F21" s="316"/>
      <c r="G21" s="316"/>
      <c r="H21" s="316"/>
      <c r="I21" s="317"/>
      <c r="J21" s="195">
        <f>IFERROR(E21+0,0)</f>
        <v>5763.27</v>
      </c>
    </row>
    <row r="22" spans="1:14" ht="24.95" customHeight="1">
      <c r="A22" s="307">
        <v>3</v>
      </c>
      <c r="B22" s="309" t="s">
        <v>386</v>
      </c>
      <c r="C22" s="310"/>
      <c r="D22" s="192" t="s">
        <v>442</v>
      </c>
      <c r="E22" s="156"/>
      <c r="F22" s="313">
        <f>IFERROR($E23/J23,0)</f>
        <v>1</v>
      </c>
      <c r="G22" s="313"/>
      <c r="H22" s="313"/>
      <c r="I22" s="314"/>
      <c r="J22" s="157">
        <f>F22</f>
        <v>1</v>
      </c>
    </row>
    <row r="23" spans="1:14" ht="24.95" customHeight="1">
      <c r="A23" s="308"/>
      <c r="B23" s="311"/>
      <c r="C23" s="312"/>
      <c r="D23" s="194" t="s">
        <v>443</v>
      </c>
      <c r="E23" s="315">
        <v>14018.54</v>
      </c>
      <c r="F23" s="316"/>
      <c r="G23" s="316"/>
      <c r="H23" s="316"/>
      <c r="I23" s="317"/>
      <c r="J23" s="195">
        <f>IFERROR(E23+0,0)</f>
        <v>14018.54</v>
      </c>
    </row>
    <row r="24" spans="1:14" ht="24.95" customHeight="1">
      <c r="A24" s="307">
        <v>4</v>
      </c>
      <c r="B24" s="309" t="s">
        <v>411</v>
      </c>
      <c r="C24" s="310"/>
      <c r="D24" s="192" t="s">
        <v>442</v>
      </c>
      <c r="E24" s="156"/>
      <c r="F24" s="313">
        <f>IFERROR($E25/J25,0)</f>
        <v>1</v>
      </c>
      <c r="G24" s="313"/>
      <c r="H24" s="313"/>
      <c r="I24" s="314"/>
      <c r="J24" s="157">
        <f>F24</f>
        <v>1</v>
      </c>
    </row>
    <row r="25" spans="1:14" ht="24.95" customHeight="1">
      <c r="A25" s="308"/>
      <c r="B25" s="311"/>
      <c r="C25" s="312"/>
      <c r="D25" s="194" t="s">
        <v>443</v>
      </c>
      <c r="E25" s="315">
        <v>18262.650000000001</v>
      </c>
      <c r="F25" s="316"/>
      <c r="G25" s="316"/>
      <c r="H25" s="316"/>
      <c r="I25" s="317"/>
      <c r="J25" s="195">
        <f>IFERROR(E25+0,0)</f>
        <v>18262.650000000001</v>
      </c>
    </row>
    <row r="26" spans="1:14" ht="24.95" customHeight="1">
      <c r="A26" s="307">
        <v>5</v>
      </c>
      <c r="B26" s="309" t="s">
        <v>699</v>
      </c>
      <c r="C26" s="310"/>
      <c r="D26" s="192" t="s">
        <v>442</v>
      </c>
      <c r="E26" s="156"/>
      <c r="F26" s="313">
        <f>IFERROR($E27/J27,0)</f>
        <v>1</v>
      </c>
      <c r="G26" s="313"/>
      <c r="H26" s="313"/>
      <c r="I26" s="314"/>
      <c r="J26" s="157">
        <f>F26</f>
        <v>1</v>
      </c>
    </row>
    <row r="27" spans="1:14" ht="24.95" customHeight="1">
      <c r="A27" s="308"/>
      <c r="B27" s="311"/>
      <c r="C27" s="312"/>
      <c r="D27" s="194" t="s">
        <v>443</v>
      </c>
      <c r="E27" s="315">
        <v>27442.720000000001</v>
      </c>
      <c r="F27" s="316"/>
      <c r="G27" s="316"/>
      <c r="H27" s="316"/>
      <c r="I27" s="317"/>
      <c r="J27" s="195">
        <f>IFERROR(E27+0,0)</f>
        <v>27442.720000000001</v>
      </c>
    </row>
    <row r="28" spans="1:14" ht="24.95" customHeight="1">
      <c r="A28" s="307">
        <v>6</v>
      </c>
      <c r="B28" s="309" t="s">
        <v>390</v>
      </c>
      <c r="C28" s="310"/>
      <c r="D28" s="192" t="s">
        <v>442</v>
      </c>
      <c r="E28" s="156"/>
      <c r="F28" s="313">
        <f>IFERROR($E29/J29,0)</f>
        <v>1</v>
      </c>
      <c r="G28" s="313"/>
      <c r="H28" s="313"/>
      <c r="I28" s="314"/>
      <c r="J28" s="157">
        <f>F28</f>
        <v>1</v>
      </c>
    </row>
    <row r="29" spans="1:14" ht="24.95" customHeight="1">
      <c r="A29" s="308"/>
      <c r="B29" s="311"/>
      <c r="C29" s="312"/>
      <c r="D29" s="194" t="s">
        <v>443</v>
      </c>
      <c r="E29" s="315">
        <v>21491.31</v>
      </c>
      <c r="F29" s="316"/>
      <c r="G29" s="316"/>
      <c r="H29" s="316"/>
      <c r="I29" s="317"/>
      <c r="J29" s="195">
        <f>IFERROR(E29+0,0)</f>
        <v>21491.31</v>
      </c>
    </row>
    <row r="30" spans="1:14" ht="24.95" customHeight="1">
      <c r="A30" s="307">
        <v>7</v>
      </c>
      <c r="B30" s="309" t="s">
        <v>392</v>
      </c>
      <c r="C30" s="310"/>
      <c r="D30" s="192" t="s">
        <v>442</v>
      </c>
      <c r="E30" s="156"/>
      <c r="F30" s="313">
        <f>IFERROR($E31/J31,0)</f>
        <v>1</v>
      </c>
      <c r="G30" s="313"/>
      <c r="H30" s="313"/>
      <c r="I30" s="314"/>
      <c r="J30" s="157">
        <f>F30</f>
        <v>1</v>
      </c>
    </row>
    <row r="31" spans="1:14" ht="24.95" customHeight="1">
      <c r="A31" s="308"/>
      <c r="B31" s="311"/>
      <c r="C31" s="312"/>
      <c r="D31" s="194" t="s">
        <v>443</v>
      </c>
      <c r="E31" s="315">
        <v>14200.01</v>
      </c>
      <c r="F31" s="316"/>
      <c r="G31" s="316"/>
      <c r="H31" s="316"/>
      <c r="I31" s="317"/>
      <c r="J31" s="195">
        <f>IFERROR(E31+0,0)</f>
        <v>14200.01</v>
      </c>
    </row>
    <row r="32" spans="1:14" ht="24.95" customHeight="1">
      <c r="A32" s="307">
        <v>8</v>
      </c>
      <c r="B32" s="309" t="s">
        <v>394</v>
      </c>
      <c r="C32" s="310"/>
      <c r="D32" s="192" t="s">
        <v>442</v>
      </c>
      <c r="E32" s="156"/>
      <c r="F32" s="313">
        <f>IFERROR($E33/J33,0)</f>
        <v>1</v>
      </c>
      <c r="G32" s="313"/>
      <c r="H32" s="313"/>
      <c r="I32" s="314"/>
      <c r="J32" s="157">
        <f>F32</f>
        <v>1</v>
      </c>
    </row>
    <row r="33" spans="1:10" ht="24.95" customHeight="1">
      <c r="A33" s="308"/>
      <c r="B33" s="311"/>
      <c r="C33" s="312"/>
      <c r="D33" s="194" t="s">
        <v>443</v>
      </c>
      <c r="E33" s="315">
        <v>51130.61</v>
      </c>
      <c r="F33" s="316"/>
      <c r="G33" s="316"/>
      <c r="H33" s="316"/>
      <c r="I33" s="317"/>
      <c r="J33" s="195">
        <f>IFERROR(E33+0,0)</f>
        <v>51130.61</v>
      </c>
    </row>
    <row r="34" spans="1:10" ht="24.95" customHeight="1">
      <c r="A34" s="307">
        <v>9</v>
      </c>
      <c r="B34" s="309" t="s">
        <v>413</v>
      </c>
      <c r="C34" s="310"/>
      <c r="D34" s="192" t="s">
        <v>442</v>
      </c>
      <c r="E34" s="156"/>
      <c r="F34" s="313">
        <f>IFERROR($E35/J35,0)</f>
        <v>1</v>
      </c>
      <c r="G34" s="313"/>
      <c r="H34" s="313"/>
      <c r="I34" s="314"/>
      <c r="J34" s="157">
        <f>F34</f>
        <v>1</v>
      </c>
    </row>
    <row r="35" spans="1:10" ht="24.95" customHeight="1">
      <c r="A35" s="308"/>
      <c r="B35" s="311"/>
      <c r="C35" s="312"/>
      <c r="D35" s="194" t="s">
        <v>443</v>
      </c>
      <c r="E35" s="315">
        <v>723.49</v>
      </c>
      <c r="F35" s="316"/>
      <c r="G35" s="316"/>
      <c r="H35" s="316"/>
      <c r="I35" s="317"/>
      <c r="J35" s="195">
        <f>IFERROR(E35+0,0)</f>
        <v>723.49</v>
      </c>
    </row>
    <row r="36" spans="1:10" ht="24.95" customHeight="1">
      <c r="A36" s="307">
        <v>10</v>
      </c>
      <c r="B36" s="309" t="s">
        <v>414</v>
      </c>
      <c r="C36" s="310"/>
      <c r="D36" s="192" t="s">
        <v>442</v>
      </c>
      <c r="E36" s="156"/>
      <c r="F36" s="313">
        <f>IFERROR($E37/J37,0)</f>
        <v>1</v>
      </c>
      <c r="G36" s="313"/>
      <c r="H36" s="313"/>
      <c r="I36" s="314"/>
      <c r="J36" s="157">
        <f>F36</f>
        <v>1</v>
      </c>
    </row>
    <row r="37" spans="1:10" ht="24.95" customHeight="1">
      <c r="A37" s="308"/>
      <c r="B37" s="311"/>
      <c r="C37" s="312"/>
      <c r="D37" s="194" t="s">
        <v>443</v>
      </c>
      <c r="E37" s="315">
        <v>20418.490000000002</v>
      </c>
      <c r="F37" s="316"/>
      <c r="G37" s="316"/>
      <c r="H37" s="316"/>
      <c r="I37" s="317"/>
      <c r="J37" s="195">
        <f>IFERROR(E37+0,0)</f>
        <v>20418.490000000002</v>
      </c>
    </row>
    <row r="38" spans="1:10" ht="24.95" customHeight="1">
      <c r="A38" s="307">
        <v>11</v>
      </c>
      <c r="B38" s="309" t="s">
        <v>399</v>
      </c>
      <c r="C38" s="310"/>
      <c r="D38" s="192" t="s">
        <v>442</v>
      </c>
      <c r="E38" s="156"/>
      <c r="F38" s="313">
        <f>IFERROR($E39/J39,0)</f>
        <v>1</v>
      </c>
      <c r="G38" s="313"/>
      <c r="H38" s="313"/>
      <c r="I38" s="314"/>
      <c r="J38" s="157">
        <f>F38</f>
        <v>1</v>
      </c>
    </row>
    <row r="39" spans="1:10" ht="24.95" customHeight="1">
      <c r="A39" s="308"/>
      <c r="B39" s="311"/>
      <c r="C39" s="312"/>
      <c r="D39" s="194" t="s">
        <v>443</v>
      </c>
      <c r="E39" s="315">
        <v>30633.25</v>
      </c>
      <c r="F39" s="316"/>
      <c r="G39" s="316"/>
      <c r="H39" s="316"/>
      <c r="I39" s="317"/>
      <c r="J39" s="195">
        <f>IFERROR(E39+0,0)</f>
        <v>30633.25</v>
      </c>
    </row>
    <row r="40" spans="1:10" ht="24.95" customHeight="1">
      <c r="A40" s="307">
        <v>12</v>
      </c>
      <c r="B40" s="309" t="s">
        <v>700</v>
      </c>
      <c r="C40" s="310"/>
      <c r="D40" s="192" t="s">
        <v>442</v>
      </c>
      <c r="E40" s="156"/>
      <c r="F40" s="313">
        <f>IFERROR($E41/J41,0)</f>
        <v>1</v>
      </c>
      <c r="G40" s="313"/>
      <c r="H40" s="313"/>
      <c r="I40" s="314"/>
      <c r="J40" s="157">
        <f>F40</f>
        <v>1</v>
      </c>
    </row>
    <row r="41" spans="1:10" ht="24.95" customHeight="1">
      <c r="A41" s="308"/>
      <c r="B41" s="311"/>
      <c r="C41" s="312"/>
      <c r="D41" s="194" t="s">
        <v>443</v>
      </c>
      <c r="E41" s="315">
        <v>2796.94</v>
      </c>
      <c r="F41" s="316"/>
      <c r="G41" s="316"/>
      <c r="H41" s="316"/>
      <c r="I41" s="317"/>
      <c r="J41" s="195">
        <f>IFERROR(E41+0,0)</f>
        <v>2796.94</v>
      </c>
    </row>
    <row r="42" spans="1:10" ht="24.95" customHeight="1">
      <c r="A42" s="307">
        <v>13</v>
      </c>
      <c r="B42" s="309" t="s">
        <v>416</v>
      </c>
      <c r="C42" s="310"/>
      <c r="D42" s="192" t="s">
        <v>442</v>
      </c>
      <c r="E42" s="156"/>
      <c r="F42" s="313">
        <f>IFERROR($E43/J43,0)</f>
        <v>1</v>
      </c>
      <c r="G42" s="313"/>
      <c r="H42" s="313"/>
      <c r="I42" s="314"/>
      <c r="J42" s="157">
        <f>F42</f>
        <v>1</v>
      </c>
    </row>
    <row r="43" spans="1:10" ht="24.95" customHeight="1">
      <c r="A43" s="308"/>
      <c r="B43" s="311"/>
      <c r="C43" s="312"/>
      <c r="D43" s="194" t="s">
        <v>443</v>
      </c>
      <c r="E43" s="315">
        <v>16877.13</v>
      </c>
      <c r="F43" s="316"/>
      <c r="G43" s="316"/>
      <c r="H43" s="316"/>
      <c r="I43" s="317"/>
      <c r="J43" s="195">
        <f>IFERROR(E43+0,0)</f>
        <v>16877.13</v>
      </c>
    </row>
    <row r="44" spans="1:10" ht="24.95" customHeight="1">
      <c r="A44" s="307">
        <v>14</v>
      </c>
      <c r="B44" s="309" t="s">
        <v>701</v>
      </c>
      <c r="C44" s="310"/>
      <c r="D44" s="192" t="s">
        <v>442</v>
      </c>
      <c r="E44" s="156"/>
      <c r="F44" s="313">
        <f>IFERROR($E45/J45,0)</f>
        <v>1</v>
      </c>
      <c r="G44" s="313"/>
      <c r="H44" s="313"/>
      <c r="I44" s="314"/>
      <c r="J44" s="157">
        <f>F44</f>
        <v>1</v>
      </c>
    </row>
    <row r="45" spans="1:10" ht="24.95" customHeight="1">
      <c r="A45" s="308"/>
      <c r="B45" s="311"/>
      <c r="C45" s="312"/>
      <c r="D45" s="194" t="s">
        <v>443</v>
      </c>
      <c r="E45" s="315">
        <v>2553.5300000000002</v>
      </c>
      <c r="F45" s="316"/>
      <c r="G45" s="316"/>
      <c r="H45" s="316"/>
      <c r="I45" s="317"/>
      <c r="J45" s="195">
        <f>IFERROR(E45+0,0)</f>
        <v>2553.5300000000002</v>
      </c>
    </row>
    <row r="46" spans="1:10" ht="24.95" customHeight="1">
      <c r="A46" s="307">
        <v>15</v>
      </c>
      <c r="B46" s="309" t="s">
        <v>444</v>
      </c>
      <c r="C46" s="310"/>
      <c r="D46" s="192" t="s">
        <v>442</v>
      </c>
      <c r="E46" s="156"/>
      <c r="F46" s="313">
        <f>IFERROR($E47/J47,0)</f>
        <v>1</v>
      </c>
      <c r="G46" s="313"/>
      <c r="H46" s="313"/>
      <c r="I46" s="314"/>
      <c r="J46" s="157">
        <f>F46</f>
        <v>1</v>
      </c>
    </row>
    <row r="47" spans="1:10" ht="24.95" customHeight="1">
      <c r="A47" s="308"/>
      <c r="B47" s="311"/>
      <c r="C47" s="312"/>
      <c r="D47" s="194" t="s">
        <v>443</v>
      </c>
      <c r="E47" s="315">
        <v>13916.54</v>
      </c>
      <c r="F47" s="316"/>
      <c r="G47" s="316"/>
      <c r="H47" s="316"/>
      <c r="I47" s="317"/>
      <c r="J47" s="195">
        <f>IFERROR(E47+0,0)</f>
        <v>13916.54</v>
      </c>
    </row>
    <row r="48" spans="1:10" ht="24.95" customHeight="1">
      <c r="A48" s="307">
        <v>16</v>
      </c>
      <c r="B48" s="309" t="s">
        <v>419</v>
      </c>
      <c r="C48" s="310"/>
      <c r="D48" s="192" t="s">
        <v>442</v>
      </c>
      <c r="E48" s="156"/>
      <c r="F48" s="313">
        <f>IFERROR($E49/J49,0)</f>
        <v>1</v>
      </c>
      <c r="G48" s="313"/>
      <c r="H48" s="313"/>
      <c r="I48" s="314"/>
      <c r="J48" s="157">
        <f>F48</f>
        <v>1</v>
      </c>
    </row>
    <row r="49" spans="1:14" ht="24.95" customHeight="1">
      <c r="A49" s="308"/>
      <c r="B49" s="311"/>
      <c r="C49" s="312"/>
      <c r="D49" s="194" t="s">
        <v>443</v>
      </c>
      <c r="E49" s="315">
        <v>34071.760000000002</v>
      </c>
      <c r="F49" s="316"/>
      <c r="G49" s="316"/>
      <c r="H49" s="316"/>
      <c r="I49" s="317"/>
      <c r="J49" s="195">
        <f>IFERROR(E49+0,0)</f>
        <v>34071.760000000002</v>
      </c>
    </row>
    <row r="50" spans="1:14" ht="24.95" customHeight="1">
      <c r="A50" s="307">
        <v>17</v>
      </c>
      <c r="B50" s="309" t="s">
        <v>420</v>
      </c>
      <c r="C50" s="310"/>
      <c r="D50" s="192" t="s">
        <v>442</v>
      </c>
      <c r="E50" s="156"/>
      <c r="F50" s="313">
        <f>IFERROR($E51/J51,0)</f>
        <v>1</v>
      </c>
      <c r="G50" s="313"/>
      <c r="H50" s="313"/>
      <c r="I50" s="314"/>
      <c r="J50" s="157">
        <f>F50</f>
        <v>1</v>
      </c>
    </row>
    <row r="51" spans="1:14" ht="24.95" customHeight="1">
      <c r="A51" s="308"/>
      <c r="B51" s="311"/>
      <c r="C51" s="312"/>
      <c r="D51" s="194" t="s">
        <v>443</v>
      </c>
      <c r="E51" s="315">
        <v>3245.49</v>
      </c>
      <c r="F51" s="316"/>
      <c r="G51" s="316"/>
      <c r="H51" s="316"/>
      <c r="I51" s="317"/>
      <c r="J51" s="195">
        <f>IFERROR(E51+0,0)</f>
        <v>3245.49</v>
      </c>
    </row>
    <row r="52" spans="1:14" ht="24.95" customHeight="1">
      <c r="A52" s="307">
        <v>18</v>
      </c>
      <c r="B52" s="309" t="s">
        <v>406</v>
      </c>
      <c r="C52" s="310"/>
      <c r="D52" s="192" t="s">
        <v>442</v>
      </c>
      <c r="E52" s="156"/>
      <c r="F52" s="313">
        <f>IFERROR($E53/J53,0)</f>
        <v>1</v>
      </c>
      <c r="G52" s="313"/>
      <c r="H52" s="313"/>
      <c r="I52" s="314"/>
      <c r="J52" s="157">
        <f>F52</f>
        <v>1</v>
      </c>
    </row>
    <row r="53" spans="1:14" ht="24.95" customHeight="1">
      <c r="A53" s="308"/>
      <c r="B53" s="311"/>
      <c r="C53" s="312"/>
      <c r="D53" s="194" t="s">
        <v>443</v>
      </c>
      <c r="E53" s="315">
        <v>2738.97</v>
      </c>
      <c r="F53" s="316"/>
      <c r="G53" s="316"/>
      <c r="H53" s="316"/>
      <c r="I53" s="317"/>
      <c r="J53" s="195">
        <f>IFERROR(E53+0,0)</f>
        <v>2738.97</v>
      </c>
      <c r="K53" s="196"/>
    </row>
    <row r="54" spans="1:14" ht="15" customHeight="1">
      <c r="A54" s="318"/>
      <c r="B54" s="319"/>
      <c r="C54" s="319"/>
      <c r="D54" s="320"/>
      <c r="E54" s="319"/>
      <c r="F54" s="319"/>
      <c r="G54" s="319"/>
      <c r="H54" s="319"/>
      <c r="I54" s="320"/>
      <c r="J54" s="197"/>
      <c r="K54" s="166"/>
      <c r="L54" s="198"/>
      <c r="M54" s="168"/>
      <c r="N54" s="168"/>
    </row>
    <row r="55" spans="1:14" ht="30" customHeight="1">
      <c r="A55" s="300" t="s">
        <v>650</v>
      </c>
      <c r="B55" s="300"/>
      <c r="C55" s="300"/>
      <c r="D55" s="300"/>
      <c r="E55" s="301">
        <f>IFERROR(E57-E56,"")</f>
        <v>294227.31999999995</v>
      </c>
      <c r="F55" s="302"/>
      <c r="G55" s="302"/>
      <c r="H55" s="302"/>
      <c r="I55" s="303"/>
      <c r="J55" s="199">
        <f>IFERROR(E55,"")</f>
        <v>294227.31999999995</v>
      </c>
      <c r="K55" s="166"/>
      <c r="L55" s="198"/>
      <c r="M55" s="168"/>
      <c r="N55" s="168"/>
    </row>
    <row r="56" spans="1:14" ht="30" customHeight="1">
      <c r="A56" s="300" t="s">
        <v>651</v>
      </c>
      <c r="B56" s="300"/>
      <c r="C56" s="300"/>
      <c r="D56" s="300"/>
      <c r="E56" s="304">
        <v>0</v>
      </c>
      <c r="F56" s="305"/>
      <c r="G56" s="305"/>
      <c r="H56" s="305"/>
      <c r="I56" s="306"/>
      <c r="J56" s="199">
        <f>IF(E56="Lançar o valor da contrapartida, mesmo que ZERO","",E56)</f>
        <v>0</v>
      </c>
      <c r="K56" s="166"/>
      <c r="L56" s="198"/>
      <c r="M56" s="168"/>
      <c r="N56" s="168"/>
    </row>
    <row r="57" spans="1:14" ht="30" customHeight="1">
      <c r="A57" s="300" t="s">
        <v>652</v>
      </c>
      <c r="B57" s="300"/>
      <c r="C57" s="300"/>
      <c r="D57" s="300"/>
      <c r="E57" s="301">
        <f>SUMIF(E18:E53,"&gt;0")</f>
        <v>294227.31999999995</v>
      </c>
      <c r="F57" s="302"/>
      <c r="G57" s="302"/>
      <c r="H57" s="302"/>
      <c r="I57" s="303"/>
      <c r="J57" s="200">
        <f>IFERROR(E57,"")</f>
        <v>294227.31999999995</v>
      </c>
      <c r="K57" s="166"/>
      <c r="L57" s="167"/>
      <c r="M57" s="168"/>
      <c r="N57" s="168"/>
    </row>
    <row r="58" spans="1:14" ht="30" customHeight="1">
      <c r="A58" s="291" t="s">
        <v>653</v>
      </c>
      <c r="B58" s="291"/>
      <c r="C58" s="291"/>
      <c r="D58" s="291"/>
      <c r="E58" s="292">
        <f>IFERROR(E57/J57,"O percentual será calculado após lançamento dos valores dos itens/serviços")</f>
        <v>1</v>
      </c>
      <c r="F58" s="293"/>
      <c r="G58" s="293"/>
      <c r="H58" s="293"/>
      <c r="I58" s="294"/>
      <c r="J58" s="201">
        <f>IF(E58="O percentual será calculado após lançamento dos valores dos itens/serviços","",E58)</f>
        <v>1</v>
      </c>
      <c r="K58" s="166"/>
      <c r="L58" s="167"/>
      <c r="M58" s="168"/>
      <c r="N58" s="168"/>
    </row>
    <row r="59" spans="1:14">
      <c r="A59" s="172"/>
      <c r="B59" s="173"/>
      <c r="C59" s="202"/>
      <c r="D59" s="202"/>
      <c r="E59" s="203"/>
      <c r="F59" s="203"/>
      <c r="G59" s="203"/>
      <c r="H59" s="203"/>
      <c r="I59" s="203"/>
      <c r="J59" s="204"/>
      <c r="K59" s="166"/>
      <c r="L59" s="167"/>
      <c r="M59" s="168"/>
      <c r="N59" s="168"/>
    </row>
    <row r="60" spans="1:14" s="160" customFormat="1">
      <c r="A60" s="172"/>
      <c r="B60" s="173"/>
      <c r="C60" s="295"/>
      <c r="D60" s="296"/>
      <c r="E60" s="296"/>
      <c r="F60" s="296"/>
      <c r="G60" s="296"/>
      <c r="H60" s="296"/>
      <c r="I60" s="296"/>
      <c r="J60" s="297"/>
      <c r="K60" s="173"/>
      <c r="L60" s="167"/>
      <c r="M60" s="167"/>
      <c r="N60" s="167"/>
    </row>
    <row r="61" spans="1:14" s="160" customFormat="1">
      <c r="A61" s="205"/>
      <c r="B61" s="206"/>
      <c r="C61" s="296"/>
      <c r="D61" s="296"/>
      <c r="E61" s="296"/>
      <c r="F61" s="296"/>
      <c r="G61" s="296"/>
      <c r="H61" s="296"/>
      <c r="I61" s="296"/>
      <c r="J61" s="297"/>
      <c r="K61" s="173"/>
      <c r="L61" s="167"/>
      <c r="M61" s="167"/>
      <c r="N61" s="167"/>
    </row>
    <row r="62" spans="1:14" s="160" customFormat="1">
      <c r="A62" s="207"/>
      <c r="B62" s="208"/>
      <c r="C62" s="296"/>
      <c r="D62" s="296"/>
      <c r="E62" s="296"/>
      <c r="F62" s="296"/>
      <c r="G62" s="296"/>
      <c r="H62" s="296"/>
      <c r="I62" s="296"/>
      <c r="J62" s="297"/>
      <c r="K62" s="173"/>
      <c r="L62" s="167"/>
      <c r="M62" s="167"/>
      <c r="N62" s="167"/>
    </row>
    <row r="63" spans="1:14" s="160" customFormat="1">
      <c r="A63" s="207"/>
      <c r="B63" s="208"/>
      <c r="C63" s="296"/>
      <c r="D63" s="296"/>
      <c r="E63" s="296"/>
      <c r="F63" s="296"/>
      <c r="G63" s="296"/>
      <c r="H63" s="296"/>
      <c r="I63" s="296"/>
      <c r="J63" s="297"/>
      <c r="K63" s="173"/>
      <c r="L63" s="167"/>
      <c r="M63" s="167"/>
      <c r="N63" s="167"/>
    </row>
    <row r="64" spans="1:14" s="160" customFormat="1">
      <c r="A64" s="207"/>
      <c r="B64" s="208"/>
      <c r="C64" s="296"/>
      <c r="D64" s="296"/>
      <c r="E64" s="296"/>
      <c r="F64" s="296"/>
      <c r="G64" s="296"/>
      <c r="H64" s="296"/>
      <c r="I64" s="296"/>
      <c r="J64" s="297"/>
      <c r="K64" s="173"/>
      <c r="L64" s="167"/>
      <c r="M64" s="167"/>
      <c r="N64" s="167"/>
    </row>
    <row r="65" spans="1:14" ht="30.75" customHeight="1">
      <c r="A65" s="207"/>
      <c r="B65" s="208"/>
      <c r="C65" s="209"/>
      <c r="D65" s="209"/>
      <c r="E65" s="209"/>
      <c r="F65" s="209"/>
      <c r="G65" s="209"/>
      <c r="H65" s="209"/>
      <c r="I65" s="209"/>
      <c r="J65" s="210"/>
      <c r="K65" s="166"/>
      <c r="L65" s="167"/>
      <c r="M65" s="168"/>
      <c r="N65" s="168"/>
    </row>
    <row r="66" spans="1:14" ht="12" customHeight="1">
      <c r="A66" s="207"/>
      <c r="B66" s="208"/>
      <c r="C66" s="209"/>
      <c r="D66" s="209"/>
      <c r="E66" s="209"/>
      <c r="F66" s="209"/>
      <c r="G66" s="209"/>
      <c r="H66" s="209"/>
      <c r="I66" s="209"/>
      <c r="J66" s="210"/>
      <c r="K66" s="166"/>
      <c r="L66" s="167"/>
      <c r="M66" s="168"/>
      <c r="N66" s="168"/>
    </row>
    <row r="67" spans="1:14" ht="13.5" customHeight="1">
      <c r="A67" s="207"/>
      <c r="B67" s="208"/>
      <c r="C67" s="209"/>
      <c r="D67" s="209"/>
      <c r="E67" s="209"/>
      <c r="F67" s="209"/>
      <c r="G67" s="209"/>
      <c r="H67" s="209"/>
      <c r="I67" s="209"/>
      <c r="J67" s="210"/>
      <c r="K67" s="166"/>
      <c r="L67" s="167"/>
      <c r="M67" s="168"/>
      <c r="N67" s="168"/>
    </row>
    <row r="68" spans="1:14" ht="21" customHeight="1">
      <c r="A68" s="207"/>
      <c r="B68" s="208"/>
      <c r="C68" s="209"/>
      <c r="D68" s="209"/>
      <c r="E68" s="209"/>
      <c r="F68" s="209"/>
      <c r="G68" s="209"/>
      <c r="H68" s="209"/>
      <c r="I68" s="209"/>
      <c r="J68" s="210"/>
      <c r="K68" s="166"/>
      <c r="L68" s="167"/>
      <c r="M68" s="168"/>
      <c r="N68" s="168"/>
    </row>
    <row r="69" spans="1:14" ht="54.95" customHeight="1">
      <c r="A69" s="207"/>
      <c r="B69" s="208"/>
      <c r="C69" s="209"/>
      <c r="D69" s="209"/>
      <c r="E69" s="209"/>
      <c r="F69" s="209"/>
      <c r="G69" s="209"/>
      <c r="H69" s="209"/>
      <c r="I69" s="209"/>
      <c r="J69" s="210"/>
      <c r="K69" s="166"/>
      <c r="L69" s="167"/>
      <c r="M69" s="168"/>
      <c r="N69" s="168"/>
    </row>
    <row r="70" spans="1:14">
      <c r="A70" s="172"/>
      <c r="B70" s="173"/>
      <c r="C70" s="298" t="s">
        <v>409</v>
      </c>
      <c r="D70" s="298"/>
      <c r="E70" s="298"/>
      <c r="F70" s="173"/>
      <c r="G70" s="173"/>
      <c r="H70" s="173"/>
      <c r="I70" s="173"/>
      <c r="J70" s="186"/>
      <c r="K70" s="166"/>
      <c r="L70" s="167"/>
      <c r="M70" s="168"/>
      <c r="N70" s="168"/>
    </row>
    <row r="71" spans="1:14">
      <c r="A71" s="172"/>
      <c r="B71" s="173"/>
      <c r="C71" s="298" t="s">
        <v>46</v>
      </c>
      <c r="D71" s="298"/>
      <c r="E71" s="298"/>
      <c r="F71" s="173"/>
      <c r="G71" s="173"/>
      <c r="H71" s="173"/>
      <c r="I71" s="173"/>
      <c r="J71" s="186"/>
      <c r="K71" s="166"/>
      <c r="L71" s="167"/>
      <c r="M71" s="168"/>
      <c r="N71" s="168"/>
    </row>
    <row r="72" spans="1:14">
      <c r="A72" s="161"/>
      <c r="B72" s="160"/>
      <c r="C72" s="299" t="s">
        <v>445</v>
      </c>
      <c r="D72" s="299"/>
      <c r="E72" s="299"/>
      <c r="F72" s="160"/>
      <c r="G72" s="160"/>
      <c r="H72" s="160"/>
      <c r="I72" s="160"/>
      <c r="J72" s="162"/>
      <c r="L72" s="167"/>
    </row>
    <row r="73" spans="1:14">
      <c r="A73" s="163"/>
      <c r="B73" s="164"/>
      <c r="C73" s="290"/>
      <c r="D73" s="290"/>
      <c r="E73" s="164"/>
      <c r="F73" s="164"/>
      <c r="G73" s="164"/>
      <c r="H73" s="164"/>
      <c r="I73" s="164"/>
      <c r="J73" s="165"/>
      <c r="L73" s="167"/>
    </row>
    <row r="74" spans="1:14">
      <c r="L74" s="167"/>
    </row>
    <row r="75" spans="1:14">
      <c r="L75" s="167"/>
    </row>
    <row r="76" spans="1:14">
      <c r="L76" s="167"/>
    </row>
    <row r="77" spans="1:14">
      <c r="L77" s="167"/>
    </row>
    <row r="78" spans="1:14">
      <c r="L78" s="167"/>
    </row>
    <row r="79" spans="1:14">
      <c r="L79" s="167"/>
    </row>
    <row r="80" spans="1:14">
      <c r="L80" s="167"/>
    </row>
    <row r="81" spans="12:12">
      <c r="L81" s="167"/>
    </row>
  </sheetData>
  <sheetProtection formatCells="0" formatColumns="0" formatRows="0"/>
  <mergeCells count="113">
    <mergeCell ref="A1:B4"/>
    <mergeCell ref="C1:J4"/>
    <mergeCell ref="G5:J5"/>
    <mergeCell ref="A6:B6"/>
    <mergeCell ref="F6:H6"/>
    <mergeCell ref="A7:B7"/>
    <mergeCell ref="F7:H7"/>
    <mergeCell ref="J11:J16"/>
    <mergeCell ref="E12:I12"/>
    <mergeCell ref="E13:F13"/>
    <mergeCell ref="H13:I13"/>
    <mergeCell ref="E14:G14"/>
    <mergeCell ref="E15:G15"/>
    <mergeCell ref="A8:B8"/>
    <mergeCell ref="E8:E9"/>
    <mergeCell ref="F8:G8"/>
    <mergeCell ref="H8:J8"/>
    <mergeCell ref="A9:B9"/>
    <mergeCell ref="F9:G9"/>
    <mergeCell ref="H9:J9"/>
    <mergeCell ref="A20:A21"/>
    <mergeCell ref="B20:C21"/>
    <mergeCell ref="F20:I20"/>
    <mergeCell ref="E21:I21"/>
    <mergeCell ref="A22:A23"/>
    <mergeCell ref="B22:C23"/>
    <mergeCell ref="F22:I22"/>
    <mergeCell ref="E23:I23"/>
    <mergeCell ref="E16:G16"/>
    <mergeCell ref="E17:G17"/>
    <mergeCell ref="A18:A19"/>
    <mergeCell ref="B18:C19"/>
    <mergeCell ref="F18:I18"/>
    <mergeCell ref="E19:I19"/>
    <mergeCell ref="A11:A16"/>
    <mergeCell ref="B11:C16"/>
    <mergeCell ref="D11:D16"/>
    <mergeCell ref="E11:I11"/>
    <mergeCell ref="A28:A29"/>
    <mergeCell ref="B28:C29"/>
    <mergeCell ref="F28:I28"/>
    <mergeCell ref="E29:I29"/>
    <mergeCell ref="A30:A31"/>
    <mergeCell ref="B30:C31"/>
    <mergeCell ref="F30:I30"/>
    <mergeCell ref="E31:I31"/>
    <mergeCell ref="A24:A25"/>
    <mergeCell ref="B24:C25"/>
    <mergeCell ref="F24:I24"/>
    <mergeCell ref="E25:I25"/>
    <mergeCell ref="A26:A27"/>
    <mergeCell ref="B26:C27"/>
    <mergeCell ref="F26:I26"/>
    <mergeCell ref="E27:I27"/>
    <mergeCell ref="A36:A37"/>
    <mergeCell ref="B36:C37"/>
    <mergeCell ref="F36:I36"/>
    <mergeCell ref="E37:I37"/>
    <mergeCell ref="A38:A39"/>
    <mergeCell ref="B38:C39"/>
    <mergeCell ref="F38:I38"/>
    <mergeCell ref="E39:I39"/>
    <mergeCell ref="A32:A33"/>
    <mergeCell ref="B32:C33"/>
    <mergeCell ref="F32:I32"/>
    <mergeCell ref="E33:I33"/>
    <mergeCell ref="A34:A35"/>
    <mergeCell ref="B34:C35"/>
    <mergeCell ref="F34:I34"/>
    <mergeCell ref="E35:I35"/>
    <mergeCell ref="A44:A45"/>
    <mergeCell ref="B44:C45"/>
    <mergeCell ref="F44:I44"/>
    <mergeCell ref="E45:I45"/>
    <mergeCell ref="A46:A47"/>
    <mergeCell ref="B46:C47"/>
    <mergeCell ref="F46:I46"/>
    <mergeCell ref="E47:I47"/>
    <mergeCell ref="A40:A41"/>
    <mergeCell ref="B40:C41"/>
    <mergeCell ref="F40:I40"/>
    <mergeCell ref="E41:I41"/>
    <mergeCell ref="A42:A43"/>
    <mergeCell ref="B42:C43"/>
    <mergeCell ref="F42:I42"/>
    <mergeCell ref="E43:I43"/>
    <mergeCell ref="A52:A53"/>
    <mergeCell ref="B52:C53"/>
    <mergeCell ref="F52:I52"/>
    <mergeCell ref="E53:I53"/>
    <mergeCell ref="A54:D54"/>
    <mergeCell ref="E54:I54"/>
    <mergeCell ref="A48:A49"/>
    <mergeCell ref="B48:C49"/>
    <mergeCell ref="F48:I48"/>
    <mergeCell ref="E49:I49"/>
    <mergeCell ref="A50:A51"/>
    <mergeCell ref="B50:C51"/>
    <mergeCell ref="F50:I50"/>
    <mergeCell ref="E51:I51"/>
    <mergeCell ref="C73:D73"/>
    <mergeCell ref="A58:D58"/>
    <mergeCell ref="E58:I58"/>
    <mergeCell ref="C60:J64"/>
    <mergeCell ref="C70:E70"/>
    <mergeCell ref="C71:E71"/>
    <mergeCell ref="C72:E72"/>
    <mergeCell ref="A55:D55"/>
    <mergeCell ref="E55:I55"/>
    <mergeCell ref="A56:D56"/>
    <mergeCell ref="E56:I56"/>
    <mergeCell ref="A57:D57"/>
    <mergeCell ref="E57:I57"/>
  </mergeCells>
  <conditionalFormatting sqref="H9:J9">
    <cfRule type="cellIs" dxfId="43" priority="44" operator="equal">
      <formula>"Cálculo automático"</formula>
    </cfRule>
  </conditionalFormatting>
  <conditionalFormatting sqref="J19">
    <cfRule type="cellIs" dxfId="42" priority="43" operator="equal">
      <formula>"Lançar valor para as duas etapas, mesmo que ZERO"</formula>
    </cfRule>
  </conditionalFormatting>
  <conditionalFormatting sqref="E23:I23 E25:I25 E27:I27 E29:I29 E31:I31 E33:I33 E35:I35 E37:I37 E39:I39 E41:I41 E43:I43 E53:I53 E18:F18 E21:I21 E19:I19 E45:I51">
    <cfRule type="cellIs" dxfId="41" priority="42" operator="equal">
      <formula>0</formula>
    </cfRule>
  </conditionalFormatting>
  <conditionalFormatting sqref="E20:F20">
    <cfRule type="cellIs" dxfId="40" priority="41" operator="equal">
      <formula>0</formula>
    </cfRule>
  </conditionalFormatting>
  <conditionalFormatting sqref="E22:F22">
    <cfRule type="cellIs" dxfId="39" priority="40" operator="equal">
      <formula>0</formula>
    </cfRule>
  </conditionalFormatting>
  <conditionalFormatting sqref="E24:F24">
    <cfRule type="cellIs" dxfId="38" priority="39" operator="equal">
      <formula>0</formula>
    </cfRule>
  </conditionalFormatting>
  <conditionalFormatting sqref="E26:F26">
    <cfRule type="cellIs" dxfId="37" priority="38" operator="equal">
      <formula>0</formula>
    </cfRule>
  </conditionalFormatting>
  <conditionalFormatting sqref="E28:F28">
    <cfRule type="cellIs" dxfId="36" priority="37" operator="equal">
      <formula>0</formula>
    </cfRule>
  </conditionalFormatting>
  <conditionalFormatting sqref="E30:F30">
    <cfRule type="cellIs" dxfId="35" priority="36" operator="equal">
      <formula>0</formula>
    </cfRule>
  </conditionalFormatting>
  <conditionalFormatting sqref="E32:F32">
    <cfRule type="cellIs" dxfId="34" priority="35" operator="equal">
      <formula>0</formula>
    </cfRule>
  </conditionalFormatting>
  <conditionalFormatting sqref="E34:F34">
    <cfRule type="cellIs" dxfId="33" priority="34" operator="equal">
      <formula>0</formula>
    </cfRule>
  </conditionalFormatting>
  <conditionalFormatting sqref="E36:F36">
    <cfRule type="cellIs" dxfId="32" priority="33" operator="equal">
      <formula>0</formula>
    </cfRule>
  </conditionalFormatting>
  <conditionalFormatting sqref="E38:F38">
    <cfRule type="cellIs" dxfId="31" priority="32" operator="equal">
      <formula>0</formula>
    </cfRule>
  </conditionalFormatting>
  <conditionalFormatting sqref="E40:F40">
    <cfRule type="cellIs" dxfId="30" priority="31" operator="equal">
      <formula>0</formula>
    </cfRule>
  </conditionalFormatting>
  <conditionalFormatting sqref="E42:F42">
    <cfRule type="cellIs" dxfId="29" priority="30" operator="equal">
      <formula>0</formula>
    </cfRule>
  </conditionalFormatting>
  <conditionalFormatting sqref="E44:F44">
    <cfRule type="cellIs" dxfId="28" priority="29" operator="equal">
      <formula>0</formula>
    </cfRule>
  </conditionalFormatting>
  <conditionalFormatting sqref="E52:F52">
    <cfRule type="cellIs" dxfId="27" priority="28" operator="equal">
      <formula>0</formula>
    </cfRule>
  </conditionalFormatting>
  <conditionalFormatting sqref="H15">
    <cfRule type="cellIs" dxfId="26" priority="27" operator="equal">
      <formula>"XXX"</formula>
    </cfRule>
  </conditionalFormatting>
  <conditionalFormatting sqref="E18:F18 E20:F20 E23:I23 E22:F22 E25:I25 E24:F24 E27:I27 E26:F26 E29:I29 E28:F28 E31:I31 E30:F30 E33:I33 E32:F32 E35:I35 E34:F34 E37:I37 E36:F36 E39:I39 E38:F38 E41:I41 E40:F40 E43:I43 E42:F42 E44:F44 E53:I53 E52:F52 E21:I21 E19:I19 E45:I51">
    <cfRule type="cellIs" dxfId="25" priority="26" operator="equal">
      <formula>"Lançar o valor mesmo que ZERO"</formula>
    </cfRule>
  </conditionalFormatting>
  <conditionalFormatting sqref="F7:H7">
    <cfRule type="cellIs" dxfId="24" priority="25" operator="equal">
      <formula>"Inserir n.º do boletim e se com ou sem desoneração"</formula>
    </cfRule>
  </conditionalFormatting>
  <conditionalFormatting sqref="J7">
    <cfRule type="cellIs" dxfId="23" priority="24" operator="equal">
      <formula>"Inserir data base do orçamento proposto"</formula>
    </cfRule>
  </conditionalFormatting>
  <conditionalFormatting sqref="C6">
    <cfRule type="cellIs" dxfId="22" priority="23" operator="equal">
      <formula>"Nome do Municipio"</formula>
    </cfRule>
  </conditionalFormatting>
  <conditionalFormatting sqref="C7">
    <cfRule type="cellIs" dxfId="21" priority="22" operator="equal">
      <formula>"Nome do Objeto aprovado no COC"</formula>
    </cfRule>
  </conditionalFormatting>
  <conditionalFormatting sqref="C8">
    <cfRule type="cellIs" dxfId="20" priority="21" operator="equal">
      <formula>"N.º do processo da Secretaria de Turismo"</formula>
    </cfRule>
  </conditionalFormatting>
  <conditionalFormatting sqref="E56:I56">
    <cfRule type="cellIs" dxfId="19" priority="20" operator="equal">
      <formula>"Lançar o valor da contrapartida, mesmo que ZERO"</formula>
    </cfRule>
  </conditionalFormatting>
  <conditionalFormatting sqref="B18:C53">
    <cfRule type="cellIs" dxfId="18" priority="19" operator="equal">
      <formula>"Descrição do Item"</formula>
    </cfRule>
  </conditionalFormatting>
  <conditionalFormatting sqref="J21">
    <cfRule type="cellIs" dxfId="17" priority="18" operator="equal">
      <formula>"Lançar valor para as duas etapas, mesmo que ZERO"</formula>
    </cfRule>
  </conditionalFormatting>
  <conditionalFormatting sqref="J23">
    <cfRule type="cellIs" dxfId="16" priority="17" operator="equal">
      <formula>"Lançar valor para as duas etapas, mesmo que ZERO"</formula>
    </cfRule>
  </conditionalFormatting>
  <conditionalFormatting sqref="J25">
    <cfRule type="cellIs" dxfId="15" priority="16" operator="equal">
      <formula>"Lançar valor para as duas etapas, mesmo que ZERO"</formula>
    </cfRule>
  </conditionalFormatting>
  <conditionalFormatting sqref="J27">
    <cfRule type="cellIs" dxfId="14" priority="15" operator="equal">
      <formula>"Lançar valor para as duas etapas, mesmo que ZERO"</formula>
    </cfRule>
  </conditionalFormatting>
  <conditionalFormatting sqref="J29">
    <cfRule type="cellIs" dxfId="13" priority="14" operator="equal">
      <formula>"Lançar valor para as duas etapas, mesmo que ZERO"</formula>
    </cfRule>
  </conditionalFormatting>
  <conditionalFormatting sqref="J31">
    <cfRule type="cellIs" dxfId="12" priority="13" operator="equal">
      <formula>"Lançar valor para as duas etapas, mesmo que ZERO"</formula>
    </cfRule>
  </conditionalFormatting>
  <conditionalFormatting sqref="J33">
    <cfRule type="cellIs" dxfId="11" priority="12" operator="equal">
      <formula>"Lançar valor para as duas etapas, mesmo que ZERO"</formula>
    </cfRule>
  </conditionalFormatting>
  <conditionalFormatting sqref="J35">
    <cfRule type="cellIs" dxfId="10" priority="11" operator="equal">
      <formula>"Lançar valor para as duas etapas, mesmo que ZERO"</formula>
    </cfRule>
  </conditionalFormatting>
  <conditionalFormatting sqref="J37">
    <cfRule type="cellIs" dxfId="9" priority="10" operator="equal">
      <formula>"Lançar valor para as duas etapas, mesmo que ZERO"</formula>
    </cfRule>
  </conditionalFormatting>
  <conditionalFormatting sqref="J39">
    <cfRule type="cellIs" dxfId="8" priority="9" operator="equal">
      <formula>"Lançar valor para as duas etapas, mesmo que ZERO"</formula>
    </cfRule>
  </conditionalFormatting>
  <conditionalFormatting sqref="J41">
    <cfRule type="cellIs" dxfId="7" priority="8" operator="equal">
      <formula>"Lançar valor para as duas etapas, mesmo que ZERO"</formula>
    </cfRule>
  </conditionalFormatting>
  <conditionalFormatting sqref="J43">
    <cfRule type="cellIs" dxfId="6" priority="7" operator="equal">
      <formula>"Lançar valor para as duas etapas, mesmo que ZERO"</formula>
    </cfRule>
  </conditionalFormatting>
  <conditionalFormatting sqref="J45:J51">
    <cfRule type="cellIs" dxfId="5" priority="6" operator="equal">
      <formula>"Lançar valor para as duas etapas, mesmo que ZERO"</formula>
    </cfRule>
  </conditionalFormatting>
  <conditionalFormatting sqref="J53">
    <cfRule type="cellIs" dxfId="4" priority="5" operator="equal">
      <formula>"Lançar valor para as duas etapas, mesmo que ZERO"</formula>
    </cfRule>
  </conditionalFormatting>
  <conditionalFormatting sqref="J18:J53">
    <cfRule type="cellIs" dxfId="3" priority="4" operator="equal">
      <formula>0</formula>
    </cfRule>
  </conditionalFormatting>
  <conditionalFormatting sqref="E48:F48">
    <cfRule type="cellIs" dxfId="2" priority="3" operator="equal">
      <formula>0</formula>
    </cfRule>
  </conditionalFormatting>
  <conditionalFormatting sqref="E50:F50">
    <cfRule type="cellIs" dxfId="1" priority="2" operator="equal">
      <formula>0</formula>
    </cfRule>
  </conditionalFormatting>
  <conditionalFormatting sqref="E46:F46">
    <cfRule type="cellIs" dxfId="0" priority="1" operator="equal">
      <formula>0</formula>
    </cfRule>
  </conditionalFormatting>
  <pageMargins left="0.9055118110236221" right="0.70866141732283472" top="0.74803149606299213" bottom="0.74803149606299213" header="0.31496062992125984" footer="0.31496062992125984"/>
  <pageSetup paperSize="9" scale="46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21</vt:i4>
      </vt:variant>
    </vt:vector>
  </HeadingPairs>
  <TitlesOfParts>
    <vt:vector size="25" baseType="lpstr">
      <vt:lpstr>ORÇAMENTO</vt:lpstr>
      <vt:lpstr>MEMORIAL DE CÁLCULO</vt:lpstr>
      <vt:lpstr>CRONOGRAMA FÍSICOFINANCEIRO DEF</vt:lpstr>
      <vt:lpstr>CRONOG DE DESEMB 1 Etapa</vt:lpstr>
      <vt:lpstr>'CRONOG DE DESEMB 1 Etapa'!Area_de_impressao</vt:lpstr>
      <vt:lpstr>'CRONOGRAMA FÍSICOFINANCEIRO DEF'!Area_de_impressao</vt:lpstr>
      <vt:lpstr>'MEMORIAL DE CÁLCULO'!Area_de_impressao</vt:lpstr>
      <vt:lpstr>ORÇAMENTO!Area_de_impressao</vt:lpstr>
      <vt:lpstr>'CRONOGRAMA FÍSICOFINANCEIRO DEF'!Print_Titles_0</vt:lpstr>
      <vt:lpstr>'CRONOGRAMA FÍSICOFINANCEIRO DEF'!Print_Titles_0_0</vt:lpstr>
      <vt:lpstr>'CRONOGRAMA FÍSICOFINANCEIRO DEF'!Print_Titles_0_0_0</vt:lpstr>
      <vt:lpstr>'CRONOGRAMA FÍSICOFINANCEIRO DEF'!Print_Titles_0_0_0_0</vt:lpstr>
      <vt:lpstr>'CRONOGRAMA FÍSICOFINANCEIRO DEF'!Print_Titles_0_0_0_0_0</vt:lpstr>
      <vt:lpstr>'CRONOGRAMA FÍSICOFINANCEIRO DEF'!Print_Titles_0_0_0_0_0_0</vt:lpstr>
      <vt:lpstr>'CRONOGRAMA FÍSICOFINANCEIRO DEF'!Print_Titles_0_0_0_0_0_0_0</vt:lpstr>
      <vt:lpstr>'CRONOGRAMA FÍSICOFINANCEIRO DEF'!Print_Titles_0_0_0_0_0_0_0_0</vt:lpstr>
      <vt:lpstr>'CRONOGRAMA FÍSICOFINANCEIRO DEF'!Print_Titles_0_0_0_0_0_0_0_0_0</vt:lpstr>
      <vt:lpstr>'CRONOGRAMA FÍSICOFINANCEIRO DEF'!Print_Titles_0_0_0_0_0_0_0_0_0_0</vt:lpstr>
      <vt:lpstr>'CRONOGRAMA FÍSICOFINANCEIRO DEF'!Print_Titles_0_0_0_0_0_0_0_0_0_0_0</vt:lpstr>
      <vt:lpstr>'CRONOGRAMA FÍSICOFINANCEIRO DEF'!Print_Titles_0_0_0_0_0_0_0_0_0_0_0_0</vt:lpstr>
      <vt:lpstr>'CRONOGRAMA FÍSICOFINANCEIRO DEF'!Print_Titles_0_0_0_0_0_0_0_0_0_0_0_0_0</vt:lpstr>
      <vt:lpstr>'CRONOGRAMA FÍSICOFINANCEIRO DEF'!Print_Titles_0_0_0_0_0_0_0_0_0_0_0_0_0_0</vt:lpstr>
      <vt:lpstr>'CRONOGRAMA FÍSICOFINANCEIRO DEF'!Titulos_de_impressao</vt:lpstr>
      <vt:lpstr>'MEMORIAL DE CÁLCULO'!Titulos_de_impressao</vt:lpstr>
      <vt:lpstr>ORÇAMENTO!Titulos_de_impressao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Denis</cp:lastModifiedBy>
  <cp:lastPrinted>2022-02-09T17:20:00Z</cp:lastPrinted>
  <dcterms:created xsi:type="dcterms:W3CDTF">2017-08-30T19:42:29Z</dcterms:created>
  <dcterms:modified xsi:type="dcterms:W3CDTF">2022-04-07T19:26:05Z</dcterms:modified>
</cp:coreProperties>
</file>