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500"/>
  </bookViews>
  <sheets>
    <sheet name="ORÇAMENTO" sheetId="1" r:id="rId1"/>
    <sheet name="MEMÓRIA DE CÁLCULO" sheetId="2" r:id="rId2"/>
    <sheet name="CRONOGRAMA FÍS. FINANCEIRO 12m" sheetId="6" r:id="rId3"/>
    <sheet name="CRONOG DE DESEMBOLSO" sheetId="5" r:id="rId4"/>
  </sheets>
  <definedNames>
    <definedName name="_xlnm.Print_Area" localSheetId="3">'CRONOG DE DESEMBOLSO'!$A$1:$O$91</definedName>
    <definedName name="_xlnm.Print_Area" localSheetId="2">'CRONOGRAMA FÍS. FINANCEIRO 12m'!$A$1:$P$79</definedName>
    <definedName name="_xlnm.Print_Area" localSheetId="1">'MEMÓRIA DE CÁLCULO'!$A$1:$H$254</definedName>
    <definedName name="_xlnm.Print_Area" localSheetId="0">ORÇAMENTO!$A$1:$H$274</definedName>
    <definedName name="Print_Titles_0" localSheetId="2">'CRONOGRAMA FÍS. FINANCEIRO 12m'!$1:$17</definedName>
    <definedName name="Print_Titles_0_0" localSheetId="2">'CRONOGRAMA FÍS. FINANCEIRO 12m'!$1:$17</definedName>
    <definedName name="Print_Titles_0_0_0" localSheetId="2">'CRONOGRAMA FÍS. FINANCEIRO 12m'!$1:$17</definedName>
    <definedName name="Print_Titles_0_0_0_0" localSheetId="2">'CRONOGRAMA FÍS. FINANCEIRO 12m'!$1:$17</definedName>
    <definedName name="Print_Titles_0_0_0_0_0" localSheetId="2">'CRONOGRAMA FÍS. FINANCEIRO 12m'!$1:$17</definedName>
    <definedName name="Print_Titles_0_0_0_0_0_0" localSheetId="2">'CRONOGRAMA FÍS. FINANCEIRO 12m'!$1:$17</definedName>
    <definedName name="Print_Titles_0_0_0_0_0_0_0" localSheetId="2">'CRONOGRAMA FÍS. FINANCEIRO 12m'!$1:$17</definedName>
    <definedName name="Print_Titles_0_0_0_0_0_0_0_0" localSheetId="2">'CRONOGRAMA FÍS. FINANCEIRO 12m'!$1:$17</definedName>
    <definedName name="Print_Titles_0_0_0_0_0_0_0_0_0" localSheetId="2">'CRONOGRAMA FÍS. FINANCEIRO 12m'!$1:$17</definedName>
    <definedName name="Print_Titles_0_0_0_0_0_0_0_0_0_0" localSheetId="2">'CRONOGRAMA FÍS. FINANCEIRO 12m'!$1:$17</definedName>
    <definedName name="Print_Titles_0_0_0_0_0_0_0_0_0_0_0" localSheetId="2">'CRONOGRAMA FÍS. FINANCEIRO 12m'!$1:$17</definedName>
    <definedName name="Print_Titles_0_0_0_0_0_0_0_0_0_0_0_0" localSheetId="2">'CRONOGRAMA FÍS. FINANCEIRO 12m'!$1:$17</definedName>
    <definedName name="Print_Titles_0_0_0_0_0_0_0_0_0_0_0_0_0" localSheetId="2">'CRONOGRAMA FÍS. FINANCEIRO 12m'!$1:$17</definedName>
    <definedName name="Print_Titles_0_0_0_0_0_0_0_0_0_0_0_0_0_0" localSheetId="2">'CRONOGRAMA FÍS. FINANCEIRO 12m'!$1:$17</definedName>
    <definedName name="_xlnm.Print_Titles" localSheetId="2">'CRONOGRAMA FÍS. FINANCEIRO 12m'!$1:$17</definedName>
    <definedName name="_xlnm.Print_Titles" localSheetId="1">'MEMÓRIA DE CÁLCULO'!$1:$15</definedName>
    <definedName name="_xlnm.Print_Titles" localSheetId="0">ORÇAMENTO!$1:$15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3" i="6"/>
  <c r="N73"/>
  <c r="M73"/>
  <c r="L73"/>
  <c r="H73"/>
  <c r="F73"/>
  <c r="E73"/>
  <c r="P71"/>
  <c r="L71"/>
  <c r="N70"/>
  <c r="M70"/>
  <c r="P69"/>
  <c r="O68" s="1"/>
  <c r="P67"/>
  <c r="L70" s="1"/>
  <c r="G66"/>
  <c r="F66"/>
  <c r="E66"/>
  <c r="P65"/>
  <c r="O64" s="1"/>
  <c r="P63"/>
  <c r="O62"/>
  <c r="N62"/>
  <c r="P61"/>
  <c r="N60"/>
  <c r="L59"/>
  <c r="K59"/>
  <c r="J59"/>
  <c r="J73" s="1"/>
  <c r="I59"/>
  <c r="I73" s="1"/>
  <c r="H59"/>
  <c r="G59"/>
  <c r="P57"/>
  <c r="F56" s="1"/>
  <c r="P55"/>
  <c r="E54"/>
  <c r="P53"/>
  <c r="D52"/>
  <c r="P51"/>
  <c r="O50" s="1"/>
  <c r="P49"/>
  <c r="O48" s="1"/>
  <c r="P47"/>
  <c r="O46"/>
  <c r="N46"/>
  <c r="M46"/>
  <c r="P45"/>
  <c r="J45"/>
  <c r="J44" s="1"/>
  <c r="F44"/>
  <c r="P43"/>
  <c r="J42" s="1"/>
  <c r="F42"/>
  <c r="P41"/>
  <c r="O40" s="1"/>
  <c r="P39"/>
  <c r="J38" s="1"/>
  <c r="P37"/>
  <c r="I36" s="1"/>
  <c r="P35"/>
  <c r="F34" s="1"/>
  <c r="P33"/>
  <c r="M32" s="1"/>
  <c r="P31"/>
  <c r="L30"/>
  <c r="P29"/>
  <c r="I28"/>
  <c r="P27"/>
  <c r="K28" s="1"/>
  <c r="H26"/>
  <c r="P25"/>
  <c r="H24" s="1"/>
  <c r="G24"/>
  <c r="P23"/>
  <c r="G22" s="1"/>
  <c r="F22"/>
  <c r="P21"/>
  <c r="F20" s="1"/>
  <c r="E20"/>
  <c r="D19"/>
  <c r="P19" s="1"/>
  <c r="F215" i="2"/>
  <c r="F221" i="1"/>
  <c r="D18" i="6" l="1"/>
  <c r="F18"/>
  <c r="E18"/>
  <c r="K58"/>
  <c r="H36"/>
  <c r="D73"/>
  <c r="K32"/>
  <c r="J32"/>
  <c r="G73"/>
  <c r="K73"/>
  <c r="N32"/>
  <c r="J36"/>
  <c r="K38"/>
  <c r="P59"/>
  <c r="J26"/>
  <c r="F218" i="2"/>
  <c r="F219" s="1"/>
  <c r="F224" i="1"/>
  <c r="F225" s="1"/>
  <c r="F217" i="2"/>
  <c r="F223" i="1"/>
  <c r="G72" i="6" l="1"/>
  <c r="L58"/>
  <c r="H58"/>
  <c r="J58"/>
  <c r="D72"/>
  <c r="P73"/>
  <c r="I58"/>
  <c r="G58"/>
  <c r="F223" i="2"/>
  <c r="F230" i="1"/>
  <c r="N72" i="6" l="1"/>
  <c r="O72"/>
  <c r="P50"/>
  <c r="P42"/>
  <c r="P40"/>
  <c r="P34"/>
  <c r="P28"/>
  <c r="P26"/>
  <c r="P24"/>
  <c r="P22"/>
  <c r="P20"/>
  <c r="M72"/>
  <c r="E72"/>
  <c r="P72" s="1"/>
  <c r="P70"/>
  <c r="P66"/>
  <c r="P62"/>
  <c r="P60"/>
  <c r="P54"/>
  <c r="P46"/>
  <c r="J72"/>
  <c r="P36"/>
  <c r="L72"/>
  <c r="P68"/>
  <c r="F72"/>
  <c r="P52"/>
  <c r="P32"/>
  <c r="P56"/>
  <c r="I72"/>
  <c r="P18"/>
  <c r="P44"/>
  <c r="P48"/>
  <c r="P38"/>
  <c r="H72"/>
  <c r="P30"/>
  <c r="P64"/>
  <c r="K72"/>
  <c r="P58"/>
  <c r="F25" i="2"/>
  <c r="F25" i="1"/>
  <c r="F187" i="2" l="1"/>
  <c r="F184"/>
  <c r="F185" s="1"/>
  <c r="F176"/>
  <c r="F171"/>
  <c r="F156"/>
  <c r="F152"/>
  <c r="F151"/>
  <c r="F150"/>
  <c r="F147"/>
  <c r="F146"/>
  <c r="F145"/>
  <c r="F124"/>
  <c r="F123"/>
  <c r="F125" s="1"/>
  <c r="F115"/>
  <c r="F112"/>
  <c r="F110"/>
  <c r="F109"/>
  <c r="F106"/>
  <c r="F104"/>
  <c r="F102"/>
  <c r="F103" s="1"/>
  <c r="F99"/>
  <c r="F98"/>
  <c r="F94"/>
  <c r="F95" s="1"/>
  <c r="F93"/>
  <c r="F92"/>
  <c r="F90"/>
  <c r="F91" s="1"/>
  <c r="F87"/>
  <c r="F111" s="1"/>
  <c r="F82"/>
  <c r="F80"/>
  <c r="F81" s="1"/>
  <c r="F79"/>
  <c r="F77"/>
  <c r="F78" s="1"/>
  <c r="F74"/>
  <c r="F73"/>
  <c r="F72"/>
  <c r="F69"/>
  <c r="F65"/>
  <c r="F66" s="1"/>
  <c r="F64"/>
  <c r="F60"/>
  <c r="F61" s="1"/>
  <c r="F57"/>
  <c r="F56"/>
  <c r="F55"/>
  <c r="F54"/>
  <c r="F50"/>
  <c r="F53" s="1"/>
  <c r="F49"/>
  <c r="F46"/>
  <c r="F47" s="1"/>
  <c r="F45"/>
  <c r="F41"/>
  <c r="F40"/>
  <c r="F42" s="1"/>
  <c r="F38"/>
  <c r="F35"/>
  <c r="F34"/>
  <c r="F33"/>
  <c r="F32"/>
  <c r="F31"/>
  <c r="F30"/>
  <c r="F29"/>
  <c r="F28"/>
  <c r="F27"/>
  <c r="F26"/>
  <c r="F22"/>
  <c r="F20"/>
  <c r="F21" s="1"/>
  <c r="F19"/>
  <c r="F126" l="1"/>
  <c r="F48"/>
  <c r="F67"/>
  <c r="F68"/>
  <c r="F63"/>
  <c r="F62"/>
  <c r="F51"/>
  <c r="F52"/>
  <c r="F39"/>
  <c r="F35" i="1" l="1"/>
  <c r="F187"/>
  <c r="F184" l="1"/>
  <c r="F185" s="1"/>
  <c r="F145"/>
  <c r="F146"/>
  <c r="F122"/>
  <c r="F109"/>
  <c r="F108"/>
  <c r="F98" l="1"/>
  <c r="F97"/>
  <c r="F93"/>
  <c r="F91"/>
  <c r="F89"/>
  <c r="F31"/>
  <c r="F86"/>
  <c r="F82"/>
  <c r="F80"/>
  <c r="F79"/>
  <c r="F77"/>
  <c r="F72"/>
  <c r="F69"/>
  <c r="F65"/>
  <c r="F64"/>
  <c r="F60"/>
  <c r="F62" s="1"/>
  <c r="F57"/>
  <c r="F56"/>
  <c r="F55"/>
  <c r="F54"/>
  <c r="F50"/>
  <c r="F52" s="1"/>
  <c r="F49"/>
  <c r="F40"/>
  <c r="F41"/>
  <c r="F28"/>
  <c r="F27"/>
  <c r="F26"/>
  <c r="F110" l="1"/>
  <c r="F53"/>
  <c r="F42"/>
  <c r="F144" l="1"/>
  <c r="F74" l="1"/>
  <c r="F66"/>
  <c r="F73"/>
  <c r="F38"/>
  <c r="F101"/>
  <c r="F46" l="1"/>
  <c r="F48" s="1"/>
  <c r="F34"/>
  <c r="F33"/>
  <c r="F32"/>
  <c r="F30"/>
  <c r="F39" l="1"/>
  <c r="O66" i="5"/>
  <c r="L65" s="1"/>
  <c r="O64"/>
  <c r="L63" s="1"/>
  <c r="O62"/>
  <c r="L61" s="1"/>
  <c r="O60"/>
  <c r="L59" s="1"/>
  <c r="O58"/>
  <c r="L57" s="1"/>
  <c r="O56"/>
  <c r="L55" s="1"/>
  <c r="O54"/>
  <c r="L53" s="1"/>
  <c r="O52"/>
  <c r="L51" s="1"/>
  <c r="G65" l="1"/>
  <c r="O65" s="1"/>
  <c r="G63"/>
  <c r="O63" s="1"/>
  <c r="G61"/>
  <c r="O61" s="1"/>
  <c r="G59"/>
  <c r="O59" s="1"/>
  <c r="G57"/>
  <c r="O57" s="1"/>
  <c r="G55"/>
  <c r="O55" s="1"/>
  <c r="G53"/>
  <c r="O53" s="1"/>
  <c r="G51"/>
  <c r="O51" s="1"/>
  <c r="O70" l="1"/>
  <c r="L69" s="1"/>
  <c r="O68"/>
  <c r="L67" s="1"/>
  <c r="O50"/>
  <c r="L49" s="1"/>
  <c r="O48"/>
  <c r="L47" s="1"/>
  <c r="O46"/>
  <c r="L45" s="1"/>
  <c r="O44"/>
  <c r="L43" s="1"/>
  <c r="O42"/>
  <c r="L41" s="1"/>
  <c r="O40"/>
  <c r="L39" s="1"/>
  <c r="O38"/>
  <c r="L37" s="1"/>
  <c r="O36"/>
  <c r="L35" s="1"/>
  <c r="O34"/>
  <c r="G33" s="1"/>
  <c r="O32"/>
  <c r="L31" s="1"/>
  <c r="O30"/>
  <c r="L29" s="1"/>
  <c r="O28"/>
  <c r="L27" s="1"/>
  <c r="O26"/>
  <c r="L25" s="1"/>
  <c r="O24"/>
  <c r="L23" s="1"/>
  <c r="O22"/>
  <c r="L21" s="1"/>
  <c r="J74"/>
  <c r="F74"/>
  <c r="F72" s="1"/>
  <c r="O73"/>
  <c r="O20"/>
  <c r="L19" s="1"/>
  <c r="O18"/>
  <c r="G17" s="1"/>
  <c r="M9" l="1"/>
  <c r="G49"/>
  <c r="O49" s="1"/>
  <c r="L33"/>
  <c r="O33" s="1"/>
  <c r="G31"/>
  <c r="O31" s="1"/>
  <c r="L17"/>
  <c r="O17" s="1"/>
  <c r="G69"/>
  <c r="O69" s="1"/>
  <c r="G67"/>
  <c r="O67" s="1"/>
  <c r="G47"/>
  <c r="O47" s="1"/>
  <c r="G45"/>
  <c r="O45" s="1"/>
  <c r="G43"/>
  <c r="O43" s="1"/>
  <c r="G41"/>
  <c r="O41" s="1"/>
  <c r="G39"/>
  <c r="O39" s="1"/>
  <c r="G37"/>
  <c r="O37" s="1"/>
  <c r="G35"/>
  <c r="O35" s="1"/>
  <c r="G29"/>
  <c r="O29" s="1"/>
  <c r="G27"/>
  <c r="O27" s="1"/>
  <c r="G25"/>
  <c r="O25" s="1"/>
  <c r="G23"/>
  <c r="O23" s="1"/>
  <c r="G21"/>
  <c r="O21" s="1"/>
  <c r="G19"/>
  <c r="O19" s="1"/>
  <c r="J72"/>
  <c r="O72" s="1"/>
  <c r="O74"/>
  <c r="J75" l="1"/>
  <c r="F75"/>
  <c r="O75" l="1"/>
  <c r="F94" i="1" l="1"/>
  <c r="F19"/>
  <c r="F149" l="1"/>
  <c r="F175" l="1"/>
  <c r="F170"/>
  <c r="F155"/>
  <c r="F150"/>
  <c r="F151"/>
  <c r="F123"/>
  <c r="F125"/>
  <c r="F124" l="1"/>
  <c r="F114"/>
  <c r="F105"/>
  <c r="F103"/>
  <c r="F111" l="1"/>
  <c r="F92"/>
  <c r="F90"/>
  <c r="F78"/>
  <c r="F81" l="1"/>
  <c r="F102"/>
  <c r="F63"/>
  <c r="F61" l="1"/>
  <c r="F45"/>
  <c r="F29"/>
  <c r="F22"/>
  <c r="F67" l="1"/>
  <c r="F68"/>
  <c r="F51"/>
  <c r="F47"/>
  <c r="F20" l="1"/>
  <c r="F21" l="1"/>
</calcChain>
</file>

<file path=xl/sharedStrings.xml><?xml version="1.0" encoding="utf-8"?>
<sst xmlns="http://schemas.openxmlformats.org/spreadsheetml/2006/main" count="2266" uniqueCount="782">
  <si>
    <t>Ítem</t>
  </si>
  <si>
    <t>Base Serviços</t>
  </si>
  <si>
    <t>Códigos Serviços</t>
  </si>
  <si>
    <t>Descrição dos Serviços</t>
  </si>
  <si>
    <t>Unidade</t>
  </si>
  <si>
    <t>Quant.</t>
  </si>
  <si>
    <t>Valor total R$</t>
  </si>
  <si>
    <t>Planilha Orçamentária</t>
  </si>
  <si>
    <t>1.1</t>
  </si>
  <si>
    <t>Serviços Preliminares</t>
  </si>
  <si>
    <t>2.1</t>
  </si>
  <si>
    <t>3.1</t>
  </si>
  <si>
    <t>4.1</t>
  </si>
  <si>
    <t>4.2</t>
  </si>
  <si>
    <t>4.3</t>
  </si>
  <si>
    <t>Cobertura</t>
  </si>
  <si>
    <t>5.2</t>
  </si>
  <si>
    <t>6.1</t>
  </si>
  <si>
    <t>6.2</t>
  </si>
  <si>
    <t>7.1</t>
  </si>
  <si>
    <t>7.2</t>
  </si>
  <si>
    <t>8.1</t>
  </si>
  <si>
    <t>9.1</t>
  </si>
  <si>
    <t>10.2</t>
  </si>
  <si>
    <t>11.1</t>
  </si>
  <si>
    <t>11.2</t>
  </si>
  <si>
    <t>12.1</t>
  </si>
  <si>
    <t>Total Geral dos Serviços</t>
  </si>
  <si>
    <t>Pintura</t>
  </si>
  <si>
    <t>Limpeza</t>
  </si>
  <si>
    <t>Superestrutura</t>
  </si>
  <si>
    <t>8.2</t>
  </si>
  <si>
    <t>8.4</t>
  </si>
  <si>
    <t>m²</t>
  </si>
  <si>
    <t>m³</t>
  </si>
  <si>
    <t>4.4</t>
  </si>
  <si>
    <t>m</t>
  </si>
  <si>
    <t>Resp. Téc.: Arq. Dênis Mendes de Moraes</t>
  </si>
  <si>
    <t>CAU Nº.: A96375-5</t>
  </si>
  <si>
    <t>11.16.020</t>
  </si>
  <si>
    <t>06.02.020</t>
  </si>
  <si>
    <t>11.3</t>
  </si>
  <si>
    <t>Subtotal item 1</t>
  </si>
  <si>
    <t>Subtotal item 2</t>
  </si>
  <si>
    <t>Subtotal item 3</t>
  </si>
  <si>
    <t>Subtotal item 4</t>
  </si>
  <si>
    <t>Subtotal item 5</t>
  </si>
  <si>
    <t>Subtotal item 6</t>
  </si>
  <si>
    <t>Subtotal item 7</t>
  </si>
  <si>
    <t>Subtotal item 8</t>
  </si>
  <si>
    <t>Subtotal item 9</t>
  </si>
  <si>
    <t>Subtotal item 10</t>
  </si>
  <si>
    <t>Subtotal item 11</t>
  </si>
  <si>
    <t>Subtotal item 12</t>
  </si>
  <si>
    <t>Estado de São Paulo</t>
  </si>
  <si>
    <t>Prefeitura Municipal da Estância Turística de Paraguaçu Paulista</t>
  </si>
  <si>
    <t>Demolições e Retiradas</t>
  </si>
  <si>
    <t>Forro</t>
  </si>
  <si>
    <t>Revestimento</t>
  </si>
  <si>
    <t>Impermeabilização</t>
  </si>
  <si>
    <t>10.3</t>
  </si>
  <si>
    <t>10.4</t>
  </si>
  <si>
    <t>10.5</t>
  </si>
  <si>
    <t>Esquadrias</t>
  </si>
  <si>
    <t>13.1</t>
  </si>
  <si>
    <t>13.2</t>
  </si>
  <si>
    <t>Subtotal item 13</t>
  </si>
  <si>
    <t>Sinalização</t>
  </si>
  <si>
    <t>14.1</t>
  </si>
  <si>
    <t>14.2</t>
  </si>
  <si>
    <t>14.3</t>
  </si>
  <si>
    <t>15.1</t>
  </si>
  <si>
    <t>15.2</t>
  </si>
  <si>
    <t>15.3</t>
  </si>
  <si>
    <t>15.4</t>
  </si>
  <si>
    <t>15.5</t>
  </si>
  <si>
    <t>Instalações Hidráulicas</t>
  </si>
  <si>
    <t>Subtotal item 15</t>
  </si>
  <si>
    <t>Subtotal item 16</t>
  </si>
  <si>
    <t>16.1</t>
  </si>
  <si>
    <t>16.2</t>
  </si>
  <si>
    <t>17.1</t>
  </si>
  <si>
    <t>Subtotal item 17</t>
  </si>
  <si>
    <t>2.2</t>
  </si>
  <si>
    <t>2.3</t>
  </si>
  <si>
    <t>2.4</t>
  </si>
  <si>
    <t>2.5</t>
  </si>
  <si>
    <t>2.6</t>
  </si>
  <si>
    <t>2.7</t>
  </si>
  <si>
    <t>03.02.040</t>
  </si>
  <si>
    <t>3.2</t>
  </si>
  <si>
    <t>3.3</t>
  </si>
  <si>
    <t>3.4</t>
  </si>
  <si>
    <t>3.5</t>
  </si>
  <si>
    <t>3.6</t>
  </si>
  <si>
    <t>3.7</t>
  </si>
  <si>
    <t>11.01.100</t>
  </si>
  <si>
    <t>Lançamento, espalhamento e adensamento de concreto ou massa em lastro e/ou enchimento</t>
  </si>
  <si>
    <t>10.01.040</t>
  </si>
  <si>
    <t>Kg</t>
  </si>
  <si>
    <t>10.01.060</t>
  </si>
  <si>
    <t>11.01.130</t>
  </si>
  <si>
    <t>09.01.030</t>
  </si>
  <si>
    <t>16.33.022</t>
  </si>
  <si>
    <t>22.02.030</t>
  </si>
  <si>
    <t>17.02.020</t>
  </si>
  <si>
    <t>Chapisco</t>
  </si>
  <si>
    <t>Alvenaria e Divisórias</t>
  </si>
  <si>
    <t>14.30.010</t>
  </si>
  <si>
    <t>Divisória em placas de granito com espessura de 3 cm</t>
  </si>
  <si>
    <t>Peitoril e/ou soleira em granito, espessura de 2 cm e largura até 20 cm</t>
  </si>
  <si>
    <t>2.8</t>
  </si>
  <si>
    <t>1.2</t>
  </si>
  <si>
    <t>02.05.060</t>
  </si>
  <si>
    <t>Montagem e desmontagem de andaime torre metálica com altura até 10 m</t>
  </si>
  <si>
    <t>02.05.202</t>
  </si>
  <si>
    <t>Andaime torre metálico (1,5 x 1,5 m) com piso metálico</t>
  </si>
  <si>
    <t>mxmês</t>
  </si>
  <si>
    <t>1.3</t>
  </si>
  <si>
    <t>02.10.020</t>
  </si>
  <si>
    <t>1.4</t>
  </si>
  <si>
    <t>Locação de obra de edificação</t>
  </si>
  <si>
    <t>unid.</t>
  </si>
  <si>
    <t>23.04.570</t>
  </si>
  <si>
    <t>Porta em laminado melamínico estrutural com acabamento texturizado, batente em alumínio com ferragens - 60 x 180 cm</t>
  </si>
  <si>
    <t>Louças e Metais</t>
  </si>
  <si>
    <t>30.04.060</t>
  </si>
  <si>
    <t>Revestimento em chapa de aço inoxidável para proteção de portas, altura de 40 cm</t>
  </si>
  <si>
    <t>30.01.120</t>
  </si>
  <si>
    <t>Barra de apoio reta, para pessoas com mobilidade reduzida, em tubo de aço inoxidável de 1 1/4´ x 400 mm</t>
  </si>
  <si>
    <t>30.01.030</t>
  </si>
  <si>
    <t>Barra de apoio reta, para pessoas com mobilidade reduzida, em tubo de aço inoxidável de 1 1/2´ x 800 mm</t>
  </si>
  <si>
    <t>33.10.030</t>
  </si>
  <si>
    <t>33.11.050</t>
  </si>
  <si>
    <t>13.3</t>
  </si>
  <si>
    <t>13.4</t>
  </si>
  <si>
    <t>13.5</t>
  </si>
  <si>
    <t>13.6</t>
  </si>
  <si>
    <t>13.7</t>
  </si>
  <si>
    <t>13.8</t>
  </si>
  <si>
    <t>30.06.080</t>
  </si>
  <si>
    <t>Placa de identificação em alumínio para WC, com desenho universal de acessibilidade</t>
  </si>
  <si>
    <t>40.04.450</t>
  </si>
  <si>
    <t>Tomada 2P+T de 10 A - 250 V, completa</t>
  </si>
  <si>
    <t>38.19.030</t>
  </si>
  <si>
    <t>Eletroduto de PVC corrugado flexível leve, diâmetro externo de 25 mm</t>
  </si>
  <si>
    <t>40.07.010</t>
  </si>
  <si>
    <t>Caixa em PVC de 4´ x 2´</t>
  </si>
  <si>
    <t>39.26.020</t>
  </si>
  <si>
    <t>Cabo de cobre flexível de 2,5 mm², isolamento 0,6/1 kV - isolação HEPR 90°C - baixa emissão de fumaça e gases</t>
  </si>
  <si>
    <t>37.13.630</t>
  </si>
  <si>
    <t>15.6</t>
  </si>
  <si>
    <t>46.03.050</t>
  </si>
  <si>
    <t>Tubo de PVC rígido PxB com virola e anel de borracha, linha esgoto série reforçada ´R´, DN=100 mm, inclusive conexões</t>
  </si>
  <si>
    <t>46.03.080</t>
  </si>
  <si>
    <t>Tubo de PVC rígido, pontas lisas, soldável, linha esgoto série reforçada ´R´, DN= 40 mm, inclusive conexões</t>
  </si>
  <si>
    <t>46.03.038</t>
  </si>
  <si>
    <t>Tubo de PVC rígido PxB com virola e anel de borracha, linha esgoto série reforçada ´R´, DN= 50 mm, inclusive conexões</t>
  </si>
  <si>
    <t>49.01.030</t>
  </si>
  <si>
    <t>Caixa sifonada de PVC rígido de 150 x 150 x 50 mm, com grelha</t>
  </si>
  <si>
    <t>46.01.020</t>
  </si>
  <si>
    <t>Tubo de PVC rígido soldável marrom, DN= 25 mm, (3/4´), inclusive conexões</t>
  </si>
  <si>
    <t>46.01.040</t>
  </si>
  <si>
    <t>Tubo de PVC rígido soldável marrom, DN= 40 mm, (1 1/4´), inclusive conexões</t>
  </si>
  <si>
    <t>30.08.060</t>
  </si>
  <si>
    <t>Bacia sifonada de louça para pessoas com mobilidade reduzida - 6 litros</t>
  </si>
  <si>
    <t>44.03.050</t>
  </si>
  <si>
    <t>Dispenser papel higiênico em ABS para rolão 300 / 600 m, com visor</t>
  </si>
  <si>
    <t>44.20.280</t>
  </si>
  <si>
    <t>Tampa de plástico para bacia sanitária</t>
  </si>
  <si>
    <t>44.01.200</t>
  </si>
  <si>
    <t>Mictório de louça sifonado auto aspirante</t>
  </si>
  <si>
    <t>55.01.020</t>
  </si>
  <si>
    <t>Limpeza final da obra</t>
  </si>
  <si>
    <t>97.02.210</t>
  </si>
  <si>
    <t>Placa de sinalização em PVC para ambientes</t>
  </si>
  <si>
    <t>13.9</t>
  </si>
  <si>
    <t>13.10</t>
  </si>
  <si>
    <t>13.11</t>
  </si>
  <si>
    <t>6.3</t>
  </si>
  <si>
    <t>6.4</t>
  </si>
  <si>
    <t>04.30.020</t>
  </si>
  <si>
    <t>Remoção de calha ou rufo</t>
  </si>
  <si>
    <t>40.05.020</t>
  </si>
  <si>
    <t>Interruptor com 1 tecla simples e placa</t>
  </si>
  <si>
    <t>44.01.050</t>
  </si>
  <si>
    <t>Bacia sifonada de louça sem tampa - 6 litros</t>
  </si>
  <si>
    <t>46.01.050</t>
  </si>
  <si>
    <t>Tubo de PVC rígido soldável marrom, DN= 50 mm, (1 1/2´), inclusive conexões</t>
  </si>
  <si>
    <t>47.01.060</t>
  </si>
  <si>
    <t>Registro de gaveta em latão fundido sem acabamento, DN= 2´</t>
  </si>
  <si>
    <t>6.5</t>
  </si>
  <si>
    <t>15.01.310</t>
  </si>
  <si>
    <t>Estrutura em terças para telhas de barro</t>
  </si>
  <si>
    <t>16.02.230</t>
  </si>
  <si>
    <t>Cumeeira de barro emboçado tipos: plan, romana, italiana, francesa e paulistinha</t>
  </si>
  <si>
    <t>Instalações Elétricas</t>
  </si>
  <si>
    <t>04.03.020</t>
  </si>
  <si>
    <t>04.07.020</t>
  </si>
  <si>
    <t>Retirada de telhamento em barro</t>
  </si>
  <si>
    <t>04.02.050</t>
  </si>
  <si>
    <t>Retirada de estrutura em madeira tesoura - telhas de barro</t>
  </si>
  <si>
    <t>04.14.020</t>
  </si>
  <si>
    <t>Retirada de vidro ou espelho com raspagem da massa ou retirada de baguete</t>
  </si>
  <si>
    <t>03.03.040</t>
  </si>
  <si>
    <t>Infraestrutura</t>
  </si>
  <si>
    <t>24.01.030</t>
  </si>
  <si>
    <t>26.01.040</t>
  </si>
  <si>
    <t>41.31.070</t>
  </si>
  <si>
    <t>Luminária LED quadrada de sobrepor com difusor prismático translúcido, 4000 K, fluxo luminoso de 1363 a 1800 lm, potência de 15 a 19 W</t>
  </si>
  <si>
    <t>33.05.330</t>
  </si>
  <si>
    <t>12.2</t>
  </si>
  <si>
    <t>12.3</t>
  </si>
  <si>
    <t>15.7</t>
  </si>
  <si>
    <t>15.8</t>
  </si>
  <si>
    <t>15.9</t>
  </si>
  <si>
    <t>15.10</t>
  </si>
  <si>
    <t>15.11</t>
  </si>
  <si>
    <t>04.09.020</t>
  </si>
  <si>
    <t>2.9</t>
  </si>
  <si>
    <t>Retirada de esquadria metálica em geral</t>
  </si>
  <si>
    <t>6.6</t>
  </si>
  <si>
    <t>2.10</t>
  </si>
  <si>
    <t>11.04.060</t>
  </si>
  <si>
    <t>14.20.010</t>
  </si>
  <si>
    <t>Vergas, contravergas e pilaretes de concreto armado</t>
  </si>
  <si>
    <t>17.02.120</t>
  </si>
  <si>
    <t>9.2</t>
  </si>
  <si>
    <t>03.04.020</t>
  </si>
  <si>
    <t>44.01.270</t>
  </si>
  <si>
    <t>Cuba de louça de embutir oval</t>
  </si>
  <si>
    <t>12.01.041</t>
  </si>
  <si>
    <t>19.01.062</t>
  </si>
  <si>
    <t>Impermeabilização em argamassa polimérica para umidade e água de percolação</t>
  </si>
  <si>
    <t>32.17.030</t>
  </si>
  <si>
    <t>Tampo/bancada em granito, com frontão, espessura de 2 cm, acabamento polido</t>
  </si>
  <si>
    <t>44.02.062</t>
  </si>
  <si>
    <t>Válvula de descarga com registro próprio, DN= 1 1/4´</t>
  </si>
  <si>
    <t>47.04.030</t>
  </si>
  <si>
    <t>50.05.260</t>
  </si>
  <si>
    <t>Bloco autônomo de iluminação de emergência com autonomia mínima de 1 hora, equipado com 2 lâmpadas de 11 W</t>
  </si>
  <si>
    <t xml:space="preserve">18.08.090
</t>
  </si>
  <si>
    <t>Placa em lona com impressão digital e requadro em metalon</t>
  </si>
  <si>
    <t>02.08.040</t>
  </si>
  <si>
    <t>13.12</t>
  </si>
  <si>
    <t>Cabo de cobre flexível de 1,5 mm², isolamento 0,6/1 kV - isolação HEPR 90°C - baixa emissão de fumaça e gases</t>
  </si>
  <si>
    <t>39.26.010</t>
  </si>
  <si>
    <t>11.18.040</t>
  </si>
  <si>
    <t>3.8</t>
  </si>
  <si>
    <t>22.01.210</t>
  </si>
  <si>
    <t>Testeira em tábua aparelhada, largura até 20 cm</t>
  </si>
  <si>
    <t>20.01.040</t>
  </si>
  <si>
    <t>Impermeabilização em argamassa impermeável com aditivo hidrófugo</t>
  </si>
  <si>
    <t>32.17.010</t>
  </si>
  <si>
    <t>Lâmpada LED 13,5W, com base E-27, 1400 até 1510lm</t>
  </si>
  <si>
    <t>41.02.580</t>
  </si>
  <si>
    <t>44.03.720</t>
  </si>
  <si>
    <t>Torneira de mesa para lavatório, acionamento hidromecânico com alavanca, registro integrado regulador de vazão, em latão cromado, DN= 1/2´</t>
  </si>
  <si>
    <t>Quadro de distribuição universal de embutir, para disjuntores 16 DIN / 12 Bolt-on - 150 A - sem componentes</t>
  </si>
  <si>
    <t>37.03.200</t>
  </si>
  <si>
    <t>13.13</t>
  </si>
  <si>
    <t>Disjuntor termomagnético, bipolar 220/380 V, corrente de 10 A até 50 A</t>
  </si>
  <si>
    <t>13.14</t>
  </si>
  <si>
    <t>13.15</t>
  </si>
  <si>
    <t>Disjuntor termomagnético, bipolar 220/380 V, corrente de 60 A até 100 A</t>
  </si>
  <si>
    <t>37.13.640</t>
  </si>
  <si>
    <t>Terminal estanhado com 1 furo e 1 compressão - 16 mm²</t>
  </si>
  <si>
    <t>42.05.210</t>
  </si>
  <si>
    <t>42.05.570</t>
  </si>
  <si>
    <t>Conector olhal cabo/haste de 5/8´</t>
  </si>
  <si>
    <t>42.05.160</t>
  </si>
  <si>
    <t>Caixa de inspeção do terra cilíndrica em PVC rígido, diâmetro de 300 mm</t>
  </si>
  <si>
    <t>42.05.320</t>
  </si>
  <si>
    <t>39.04.050</t>
  </si>
  <si>
    <t>13.16</t>
  </si>
  <si>
    <t>13.17</t>
  </si>
  <si>
    <t>13.18</t>
  </si>
  <si>
    <t>13.19</t>
  </si>
  <si>
    <t>13.20</t>
  </si>
  <si>
    <t>09.01.020</t>
  </si>
  <si>
    <t>3.9</t>
  </si>
  <si>
    <t>13.21</t>
  </si>
  <si>
    <t>Cabo de cobre nu, têmpera mole, classe 2, de 16 mm² (aterramento)</t>
  </si>
  <si>
    <t>Haste de aterramento de 5/8'' x 3 m ( aterramento)</t>
  </si>
  <si>
    <t>Registro de gaveta em latão fundido cromado com canopla, DN= 3/4´ - linha especial</t>
  </si>
  <si>
    <t>47.02.020</t>
  </si>
  <si>
    <t>Registro de gaveta em latão fundido cromado com canopla, DN= 1´ - linha especial</t>
  </si>
  <si>
    <t>47.02.030</t>
  </si>
  <si>
    <t>15.12</t>
  </si>
  <si>
    <t>41.14.670</t>
  </si>
  <si>
    <t>Luminária triangular de sobrepor tipo arandela para fluorescente compacta de 15/20/23W para área interna</t>
  </si>
  <si>
    <t>44.20.010</t>
  </si>
  <si>
    <t>Sifão plástico sanfonado universal de 1´</t>
  </si>
  <si>
    <t>10.1</t>
  </si>
  <si>
    <t>Espelho em vidro cristal liso, espessura de 4 mm</t>
  </si>
  <si>
    <t>26.04.010</t>
  </si>
  <si>
    <t>Dispenser toalheiro em ABS e policarbonato para bobina de 20 cm x 200 m, com alavanca ( para frandario e 2 sanitarios)</t>
  </si>
  <si>
    <t>44.03.010</t>
  </si>
  <si>
    <t>44.03.130</t>
  </si>
  <si>
    <t>Saboneteira tipo dispenser, para refil de 800 ml ( para frandario, banheiros mas e fem e nanheiros pne)</t>
  </si>
  <si>
    <t>03.01.210</t>
  </si>
  <si>
    <t xml:space="preserve">Demolição manual de revestimento em massa de parede ou teto </t>
  </si>
  <si>
    <t>Demolição manual de revestimento cerâmico, incluindo a base (piso e parede)</t>
  </si>
  <si>
    <t>Concreto usinado, fck = 20,0 Mpa (sapatas)</t>
  </si>
  <si>
    <t>Escavação manual em solo de 1ª e 2ª categoria em vala ou cava até 1,50 m ( sapata e baldrame)</t>
  </si>
  <si>
    <t>Armadura em barra de aço CA-60 (A ou B) fyk = 600 Mpa  (sapatas)</t>
  </si>
  <si>
    <t>Concreto usinado, fck = 20,0 Mpa (baldrame)</t>
  </si>
  <si>
    <t>Lançamento, espalhamento e adensamento de concreto ou massa em lastro e/ou enchimento (baldrame)</t>
  </si>
  <si>
    <t>Lançamento, espalhamento e adensamento de concreto ou massa em lastro e/ou enchimento (sapatas)</t>
  </si>
  <si>
    <t>Concreto não estrutural executado no local, mínimo 300 kg cimento / m³ (contrapiso interno)</t>
  </si>
  <si>
    <t>3.10</t>
  </si>
  <si>
    <t>3.11</t>
  </si>
  <si>
    <t>3.12</t>
  </si>
  <si>
    <t>Lastro de pedra britada ( para sapatas e baldrame)</t>
  </si>
  <si>
    <t>Concreto usinado, fck = 25,0 Mpa (pilares)</t>
  </si>
  <si>
    <t>Armadura em barra de aço CA-50 (A ou B) fyk = 500 Mpa (pilares)</t>
  </si>
  <si>
    <t>Armadura em barra de aço CA-60 (A ou B) fyk = 600 Mpa (pilares)</t>
  </si>
  <si>
    <t>Concreto usinado, fck = 25,0 Mpa (vigas)</t>
  </si>
  <si>
    <t>Armadura em barra de aço CA-50 (A ou B) fyk = 500 Mpa (vigas)</t>
  </si>
  <si>
    <t>Armadura em barra de aço CA-60 (A ou B) fyk = 600 Mpa (vigas)</t>
  </si>
  <si>
    <t>Forma em madeira comum para estrutura (pilares)</t>
  </si>
  <si>
    <t>Forma em madeira comum para estrutura ( vigas)</t>
  </si>
  <si>
    <t>Alvenaria de bloco cerâmico de vedação, uso revestido, de 19 cm</t>
  </si>
  <si>
    <t>14.04.220</t>
  </si>
  <si>
    <t>4.5</t>
  </si>
  <si>
    <t>4.6</t>
  </si>
  <si>
    <t>4.7</t>
  </si>
  <si>
    <t>4.8</t>
  </si>
  <si>
    <t>4.9</t>
  </si>
  <si>
    <t>4.10</t>
  </si>
  <si>
    <t>5.1</t>
  </si>
  <si>
    <t>5.3</t>
  </si>
  <si>
    <t>Calha, rufo, afins em chapa galvanizada nº 24 - corte 0,50 m (agua furtada)</t>
  </si>
  <si>
    <t>16.33.052</t>
  </si>
  <si>
    <t>Forro em painéis de gesso acartonado, espessura de 12,5 mm, fixo (interior)</t>
  </si>
  <si>
    <t>Lambril em madeira macho/fêmea tarugado, exceto pinus (exterior)</t>
  </si>
  <si>
    <t xml:space="preserve">Emboço comum </t>
  </si>
  <si>
    <t xml:space="preserve">Revestimento em porcelanato esmaltado acetinado para área interna e 
ambiente com acesso ao exterior, grupo de absorção BIa, resistência 
química B, assentado com argamassa colante industrializada, rejuntado (piso e paredes)
</t>
  </si>
  <si>
    <t>Caixilho em ferro basculante, sob medida</t>
  </si>
  <si>
    <t xml:space="preserve">Vidro liso transparente de 4 mm </t>
  </si>
  <si>
    <t>Porta/portão de abrir em chapa, sob medida</t>
  </si>
  <si>
    <t>24.02.060</t>
  </si>
  <si>
    <t>Ferragem completa com maçaneta tipo alavanca, para porta externa com 1 folha</t>
  </si>
  <si>
    <t>28.01.020</t>
  </si>
  <si>
    <t>cj</t>
  </si>
  <si>
    <t>Tinta acrílica antimofo em massa, inclusive preparo (externo, interno e forro)</t>
  </si>
  <si>
    <t xml:space="preserve">Esmalte à base água em superfície metálica, inclusive preparo </t>
  </si>
  <si>
    <t>Verniz em superfície de madeira (lambril)</t>
  </si>
  <si>
    <t>Caixa em PVC de 4´ x 4´</t>
  </si>
  <si>
    <t>40.07.020</t>
  </si>
  <si>
    <t>Interruptor com 2 teclas simples e placa</t>
  </si>
  <si>
    <t>40.05.040</t>
  </si>
  <si>
    <t>Interruptor com 3 teclas simples e placa</t>
  </si>
  <si>
    <t>40.05.060</t>
  </si>
  <si>
    <t>41.13.102</t>
  </si>
  <si>
    <t>Luminária blindada tipo arandela de 45º e 90º, para lâmpada LED (area externa)</t>
  </si>
  <si>
    <t>Sistema de alarme PNE com indicador audiovisual, para pessoas com mobilidade reduzida ou cadeirante</t>
  </si>
  <si>
    <t>30.06.061</t>
  </si>
  <si>
    <t>12.4</t>
  </si>
  <si>
    <t>12.5</t>
  </si>
  <si>
    <t>14.4</t>
  </si>
  <si>
    <t>14.5</t>
  </si>
  <si>
    <t>14.6</t>
  </si>
  <si>
    <t>14.7</t>
  </si>
  <si>
    <t>14.8</t>
  </si>
  <si>
    <t>14.9</t>
  </si>
  <si>
    <t>Chuveiro com jato regulável em metal com acabamento cromado</t>
  </si>
  <si>
    <t>47.02.110</t>
  </si>
  <si>
    <t>Registro de pressão em latão fundido cromado com canopla, DN= 3/4´ - linha especial</t>
  </si>
  <si>
    <t>43.02.100</t>
  </si>
  <si>
    <t>15.13</t>
  </si>
  <si>
    <t>15.14</t>
  </si>
  <si>
    <t>15.15</t>
  </si>
  <si>
    <t>15.16</t>
  </si>
  <si>
    <t>15.17</t>
  </si>
  <si>
    <t>15.18</t>
  </si>
  <si>
    <t>15.19</t>
  </si>
  <si>
    <t>15.20</t>
  </si>
  <si>
    <t>15.21</t>
  </si>
  <si>
    <t>15.22</t>
  </si>
  <si>
    <t>15.23</t>
  </si>
  <si>
    <t>Torneira para bancada automática, acionamento hidromecânico, em latão cromado, DN= 1/2´ou 3/4´</t>
  </si>
  <si>
    <t>44.03.645</t>
  </si>
  <si>
    <t>Revestimento em pedra mineira comum</t>
  </si>
  <si>
    <t>19.03.060</t>
  </si>
  <si>
    <t>A</t>
  </si>
  <si>
    <t>SANITÁRIO LAGO</t>
  </si>
  <si>
    <t>Reaterro manual apiloado sem controle de compactação</t>
  </si>
  <si>
    <t>06.11.040</t>
  </si>
  <si>
    <t>TOTAL ITEM A</t>
  </si>
  <si>
    <t>Concreto usinado, fck = 20,0 Mpa</t>
  </si>
  <si>
    <t>Subtotal item 14</t>
  </si>
  <si>
    <t>3.13</t>
  </si>
  <si>
    <t>Local: Parque Aquático Benedicto Benício - Estrada Municipal PGP 010 - Kiujiro Marubayashi S/N - Paraguaçu Paulista - SP</t>
  </si>
  <si>
    <t>49.03.020</t>
  </si>
  <si>
    <t>Caixa de gordura em alvenaria, 600 x 600 x 600 mm</t>
  </si>
  <si>
    <t>Revestimento em plaqueta laminada, para área interna e externa, sem rejunte</t>
  </si>
  <si>
    <t>18.05.020</t>
  </si>
  <si>
    <t>8.3</t>
  </si>
  <si>
    <t>8.5</t>
  </si>
  <si>
    <t>8.6</t>
  </si>
  <si>
    <t>Rejuntamento em placas cerâmicas com argamassa industrializada para rejunte, juntas acima de 5 até 10 mm</t>
  </si>
  <si>
    <t>18.06.430</t>
  </si>
  <si>
    <t>Calha, rufo, afins em chapa galvanizada nº 24 - corte 0,33 m (rufo)</t>
  </si>
  <si>
    <t>Piso em ladrilho hidráulico podotátil várias cores (25x25cm), assentado com argamassa mista</t>
  </si>
  <si>
    <t>30.04.030</t>
  </si>
  <si>
    <t>Memória de Cálculo</t>
  </si>
  <si>
    <t>4*1,5= 6,00 m² - placa de identificação da obra</t>
  </si>
  <si>
    <t>6+6=12,00 m - montagem e desmontagem de andaimes</t>
  </si>
  <si>
    <t>12*4= 48,00 mxmês - andaimes metálicos</t>
  </si>
  <si>
    <t>18,76*2= 37,52 m² - Locação da obra</t>
  </si>
  <si>
    <t>2*0,8*2= 3,20 m² - Retirada de vidros</t>
  </si>
  <si>
    <t>10*4= 40,00 m - para brocas</t>
  </si>
  <si>
    <t>0,6*0,6*0,35*10= 1,26 m³ - para sapatas</t>
  </si>
  <si>
    <t>1,26*60= 75,60 kg - para sapatas</t>
  </si>
  <si>
    <t>Armadura em barra de aço CA-60 (A ou B) fyk = 600 Mpa  (baldrame)</t>
  </si>
  <si>
    <t>0,9*4+1,29*2+2*2+1,2*2= 12,58 m - para soleiras</t>
  </si>
  <si>
    <t>0,9*2,1*4= 7,56 m² - para acesso aos banheiros</t>
  </si>
  <si>
    <t>Para 4 portas de aço</t>
  </si>
  <si>
    <t>Para divisórias nos banheiros</t>
  </si>
  <si>
    <t>0,265*2= 0,53 m² - para sinalização podotátil</t>
  </si>
  <si>
    <t>PARA SANITÁRIOS ACESSÍVEIS</t>
  </si>
  <si>
    <t>ILUMINAÇÃO DE EMERGÊNCIA</t>
  </si>
  <si>
    <t>ALARME PNE</t>
  </si>
  <si>
    <t>PARA REDE ELÉTRICA</t>
  </si>
  <si>
    <t>PARA ILUMINAÇÃO</t>
  </si>
  <si>
    <t>PARA REDE HIDRÁULICA</t>
  </si>
  <si>
    <t>(7*2,5)+((1,88+1,88+12))+8*2= 49,26 - PARA REDE HIDRÁULICA</t>
  </si>
  <si>
    <t>9*2,8= 25,20 - PARA REDE HIDRÁULICA</t>
  </si>
  <si>
    <t>2*0,9= 1,80 m</t>
  </si>
  <si>
    <t>PARA SANITÁRIOS COMUNS</t>
  </si>
  <si>
    <t>PARA SANITÁRIOS</t>
  </si>
  <si>
    <t>PARA SANITÁRIO</t>
  </si>
  <si>
    <t>PARA SANITÁRIOS MASCULINOS</t>
  </si>
  <si>
    <t>PARA BANHEIROS</t>
  </si>
  <si>
    <t>PARA BANHEIROS E FRALDÁRIO.</t>
  </si>
  <si>
    <t>REVESTIMENTO PISO EXTERNO</t>
  </si>
  <si>
    <t>LIMPEZA FINAL DA OBRA</t>
  </si>
  <si>
    <t>Mémória de Cálculo</t>
  </si>
  <si>
    <t>Calçada Externa</t>
  </si>
  <si>
    <t>PARA  SANITÁRIOS COMUNS</t>
  </si>
  <si>
    <t>PARA LADO EXTERNO DOS BANHEIROS</t>
  </si>
  <si>
    <t>Prefeitura Municipal da Estância Turistica de Paraguaçu Paulista</t>
  </si>
  <si>
    <t>Estado de São paulo</t>
  </si>
  <si>
    <t>CRONOGRAMA FÍSICO FINANCEIRO</t>
  </si>
  <si>
    <t>MÊS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</si>
  <si>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</si>
  <si>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</si>
  <si>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</si>
  <si>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</si>
  <si>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</si>
  <si>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</si>
  <si>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</si>
  <si>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</si>
  <si>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</si>
  <si>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</si>
  <si>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</si>
  <si>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</si>
  <si>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TOTAL</t>
  </si>
  <si>
    <t>SERVIÇOS</t>
  </si>
  <si>
    <t>1.0</t>
  </si>
  <si>
    <t>2.0</t>
  </si>
  <si>
    <t>3.0</t>
  </si>
  <si>
    <t>B</t>
  </si>
  <si>
    <t>4.0</t>
  </si>
  <si>
    <t>5.0</t>
  </si>
  <si>
    <t>6.0</t>
  </si>
  <si>
    <t>7.0</t>
  </si>
  <si>
    <t xml:space="preserve">Esquadrias </t>
  </si>
  <si>
    <t>8.0</t>
  </si>
  <si>
    <t>9.0</t>
  </si>
  <si>
    <t>10.0</t>
  </si>
  <si>
    <t>11.0</t>
  </si>
  <si>
    <t>12.0</t>
  </si>
  <si>
    <t>13.0</t>
  </si>
  <si>
    <t>14.0</t>
  </si>
  <si>
    <t>TOTAL (%)</t>
  </si>
  <si>
    <t>TOTAL COM BDI (R$)</t>
  </si>
  <si>
    <r>
      <t xml:space="preserve">LOCAL:  </t>
    </r>
    <r>
      <rPr>
        <sz val="10"/>
        <rFont val="Arial"/>
        <family val="2"/>
      </rPr>
      <t>Parque Aquático Benedicto Benício - Estrada Municipal PGP 010 - Kiujiro Marubayashi S/N - Paraguaçu Paulista - SP</t>
    </r>
  </si>
  <si>
    <t xml:space="preserve">Serviços Preliminares </t>
  </si>
  <si>
    <t xml:space="preserve">Forro </t>
  </si>
  <si>
    <t>15.0</t>
  </si>
  <si>
    <t>16.0</t>
  </si>
  <si>
    <t>17.0</t>
  </si>
  <si>
    <t xml:space="preserve">IMPLANTAÇÃO DE ACESSO AO CIRCUITO DE TURISMO DE AVENTURA </t>
  </si>
  <si>
    <t>M²</t>
  </si>
  <si>
    <t>LOCAÇÃO DE CALÇADAS</t>
  </si>
  <si>
    <t>M</t>
  </si>
  <si>
    <t xml:space="preserve">LOCAÇÃO PARA CERCAS </t>
  </si>
  <si>
    <t>02.10.060</t>
  </si>
  <si>
    <t xml:space="preserve">02.10.050 </t>
  </si>
  <si>
    <t>DEMOLIÇÕES E RETIRADAS</t>
  </si>
  <si>
    <t>RETIRADA DE GUARDA-CORPO OU GRADIL EM GERAL</t>
  </si>
  <si>
    <t>DEMOLIÇÃO MANUAL DE CONCRETO SIMPLES</t>
  </si>
  <si>
    <t>M³</t>
  </si>
  <si>
    <t>RETIRADA DE SOALHO INCLUSIVE VIGAMENTO</t>
  </si>
  <si>
    <t>REMOÇÃO DE ENTULHO SEPARADO DE OBRA COM CAÇAMBA METÁLICA - TERRA, ALVENARIA, CONCRETO, ARGAMASSA, MADEIRA, PAPEL, PLÁSTICO OU METAL</t>
  </si>
  <si>
    <t>04.09.100</t>
  </si>
  <si>
    <t xml:space="preserve">03.01.020 </t>
  </si>
  <si>
    <t xml:space="preserve">04.05.060 </t>
  </si>
  <si>
    <t xml:space="preserve">05.07.040 </t>
  </si>
  <si>
    <t>SERVIÇOS PRELIMINARES</t>
  </si>
  <si>
    <t>SERVIÇOS EM TERRA</t>
  </si>
  <si>
    <t>ESCAVAÇÃO E CARGA MECANIZADA EM SOLO BREJOSO OU TURFA</t>
  </si>
  <si>
    <t>TRANSPORTE DE SOLO DE 1ª E 2ª CATEGORIA POR CAMINHÃO PARA DISTÂNCIAS SUPERIORES AO 3° KM ATÉ O 5° KM</t>
  </si>
  <si>
    <t>REGULARIZAÇÃO E COMPACTAÇÃO MECANIZADA DE SUPERFÍCIE, SEM CONTROLE DO PROCTOR NORMAL</t>
  </si>
  <si>
    <t>07.05.010</t>
  </si>
  <si>
    <t>05.10.030</t>
  </si>
  <si>
    <t xml:space="preserve">54.01.010 </t>
  </si>
  <si>
    <t>LIMPEZA MECANIZADA DO TERRENO, INCLUSIVE TRONCOS ATÉ 15 CM DE DIÂMETRO, COM CAMINHÃO À DISPOSIÇÃO DENTRO E FORA DA OBRA, COM TRANSPORTE NO RAIO DE ATÉ 1 KM</t>
  </si>
  <si>
    <t>GUIA (MEIO-FIO) CONCRETO, MOLDADA IN LOCO EM TRECHO RETO COM EXTRUSORA, 13 CM BASE X 22 CM ALTURA. AF_06/2016</t>
  </si>
  <si>
    <t>PINTURA DE MEIO-FIO COM TINTA BRANCA A BASE DE CAL (CAIAÇÃO). AF_05/2021</t>
  </si>
  <si>
    <t>PAVIMENTAÇÃO EM LAJOTA DE CONCRETO 35 MPA, ESPESSURA 6 CM, COLORIDO, TIPOS: RAQUETE, RETANGULAR, SEXTAVADO E 16 FACES, COM REJUNTE EM AREIA</t>
  </si>
  <si>
    <t>PAVIMENTAÇÃO EM LAJOTAS DE CONCRETO</t>
  </si>
  <si>
    <t>02.09.040</t>
  </si>
  <si>
    <t>SINAPI</t>
  </si>
  <si>
    <t xml:space="preserve"> 54.04.342 </t>
  </si>
  <si>
    <t>Subtotal Item 4</t>
  </si>
  <si>
    <t>FORNECIMENTO E INSTALAÇÃO PORTICO DE MADEIRA DE EUCALIPTO TRATADO INCLUSIVE PINTURA</t>
  </si>
  <si>
    <t>UN</t>
  </si>
  <si>
    <t>PLACA DE IDENTIFICAÇÃO EM PVC COM TEXTO EM VINIL</t>
  </si>
  <si>
    <t>Subtotal Item 5</t>
  </si>
  <si>
    <t>PÓRTICO</t>
  </si>
  <si>
    <t>COTAÇÃO</t>
  </si>
  <si>
    <t>001/2022</t>
  </si>
  <si>
    <t xml:space="preserve"> 97.02.036 </t>
  </si>
  <si>
    <t>CONJUNTO DE 4 LIXEIRAS PARA COLETA SELETIVA, COM TAMPA BASCULANTE, CAPACIDADE 50 LITROS</t>
  </si>
  <si>
    <t>BANCOS</t>
  </si>
  <si>
    <t xml:space="preserve">35.20.050 </t>
  </si>
  <si>
    <t>Subtotal Item 6</t>
  </si>
  <si>
    <t>FORNECIMENTO E INSTALAÇÃO ATRACADOURO DE EUCALIPTO TRATADO INCLUSIVE PINTURA</t>
  </si>
  <si>
    <t>002/2022</t>
  </si>
  <si>
    <t>ATRACADOURO</t>
  </si>
  <si>
    <t>Subtotal Item 7</t>
  </si>
  <si>
    <t>PERGOLADO</t>
  </si>
  <si>
    <t>FORNECIMENTO E INSTALAÇÃO DE PERGOLADO DE MADEIRA DE EUCALIPTO TRATADO INCLUSIVE PINTURA</t>
  </si>
  <si>
    <t>003/2022</t>
  </si>
  <si>
    <t>Subtotal Item 8</t>
  </si>
  <si>
    <t>PLATAFORMA FLUTUANTE</t>
  </si>
  <si>
    <t xml:space="preserve">PLATAFORMA FLUTUANTE </t>
  </si>
  <si>
    <t>005/2022</t>
  </si>
  <si>
    <t>Subtotal Item 9</t>
  </si>
  <si>
    <t>CERCAMENTO ANTIGO ABRIGO DE SALVA VIDAS</t>
  </si>
  <si>
    <t>FORNECIMENTO E INSTALAÇÃO DE CERCA DE MADEIRA DE EUCALIPTO TRATADO INCLUSIVE PINTURA</t>
  </si>
  <si>
    <t>004/2022</t>
  </si>
  <si>
    <t>TOTAL ITEM B</t>
  </si>
  <si>
    <t>PROJETO ARQUITETONICO</t>
  </si>
  <si>
    <t>30,14*2+18+6+1,66+1,18+1,18+1,39+1,38=91,07M</t>
  </si>
  <si>
    <t>25+30+30*1,20=102,00M</t>
  </si>
  <si>
    <t>69,90+33,71*0,05=5,18M³</t>
  </si>
  <si>
    <t>5*4,15=20,74M²</t>
  </si>
  <si>
    <t>34*10*2,50=850,00M³</t>
  </si>
  <si>
    <t>34*10=340,00m²</t>
  </si>
  <si>
    <t>ÁREA DE IMPLANTAÇÃO DAS GUIA (MEIO-FIO) E  PAVIMENTAÇÃO EM LAJOTAS DE CONCRETO</t>
  </si>
  <si>
    <t>REGULARIZAÇÃO DA ÁREA DE IMPLANTAÇÃO DAS GUIA (MEIO-FIO) E  PAVIMENTAÇÃO EM LAJOTAS DE CONCRETO</t>
  </si>
  <si>
    <t>GUIA (MEIO-FIO)  LOCALIZADAS ENTORNO DA PAVIMENTAÇÃO DAS LAJOTAS DE CONCRETO 35 MPA,</t>
  </si>
  <si>
    <t>PINTURA DAS GUIAS DE CONCRETO</t>
  </si>
  <si>
    <t xml:space="preserve">PAVIMENTAÇÃO EM LAJOTA DE CONCRETO </t>
  </si>
  <si>
    <t xml:space="preserve">2 UNIDADE </t>
  </si>
  <si>
    <t>2,33*1,40/2=1,63M²</t>
  </si>
  <si>
    <t xml:space="preserve">5 UNIDADES </t>
  </si>
  <si>
    <t>RRT'S: 12101727 - 12101626 - 12103113</t>
  </si>
  <si>
    <t>RRT's: 12101727 - 12101626 - 12103113</t>
  </si>
  <si>
    <t>Serviços em Terra</t>
  </si>
  <si>
    <t>Pavimentação em lajotas de concreto</t>
  </si>
  <si>
    <t>Pórtico</t>
  </si>
  <si>
    <t>Atracadouro</t>
  </si>
  <si>
    <t>Pergolado</t>
  </si>
  <si>
    <t>Plataforma Flutuante</t>
  </si>
  <si>
    <t>Cercamento Antigo Abrigo de Salva Vidas</t>
  </si>
  <si>
    <t>Bancos</t>
  </si>
  <si>
    <t xml:space="preserve">CRONOGRAMA FÍSICO - DESEMBOLSO E APLICAÇÃO DOS RECURSOS </t>
  </si>
  <si>
    <t>MUNICÍPIO:</t>
  </si>
  <si>
    <t>Estância Turística de Paraguaçu Paulista</t>
  </si>
  <si>
    <t>BOLETIM Nº.</t>
  </si>
  <si>
    <t xml:space="preserve">DATA BASE: </t>
  </si>
  <si>
    <t>OBJETO:</t>
  </si>
  <si>
    <t>PROCESSO:</t>
  </si>
  <si>
    <t>PRAZO PROPOSTO</t>
  </si>
  <si>
    <r>
      <t xml:space="preserve">INÍCIO: </t>
    </r>
    <r>
      <rPr>
        <sz val="10"/>
        <rFont val="Calibri"/>
        <family val="2"/>
        <scheme val="minor"/>
      </rPr>
      <t xml:space="preserve"> </t>
    </r>
  </si>
  <si>
    <t xml:space="preserve">180 dias da data da assinatura do convênio </t>
  </si>
  <si>
    <t>CONVÊNIO:</t>
  </si>
  <si>
    <r>
      <t>FINAL:</t>
    </r>
    <r>
      <rPr>
        <b/>
        <u/>
        <sz val="10"/>
        <color rgb="FFFF0000"/>
        <rFont val="Calibri"/>
        <family val="2"/>
        <scheme val="minor"/>
      </rPr>
      <t/>
    </r>
  </si>
  <si>
    <t>ITEM</t>
  </si>
  <si>
    <t>UNIDADE</t>
  </si>
  <si>
    <t>1ª   ETAPA</t>
  </si>
  <si>
    <t>2ª   ETAPA</t>
  </si>
  <si>
    <t>PERÍODO</t>
  </si>
  <si>
    <t>dias</t>
  </si>
  <si>
    <t>Licitação:</t>
  </si>
  <si>
    <t>Execução:</t>
  </si>
  <si>
    <t>Vistoria:</t>
  </si>
  <si>
    <t>Encerramento:</t>
  </si>
  <si>
    <t>%</t>
  </si>
  <si>
    <t>R$</t>
  </si>
  <si>
    <t xml:space="preserve">RECURSOS ESTADUAIS </t>
  </si>
  <si>
    <t xml:space="preserve">RECURSOS PRÓPRIOS </t>
  </si>
  <si>
    <t xml:space="preserve">T O T A L  </t>
  </si>
  <si>
    <t>PORCENTAGEM DE SERVIÇOS</t>
  </si>
  <si>
    <t>Resp. Tecnico: Arq. Dênis Mendes de Moraes</t>
  </si>
  <si>
    <t>CAU - A96375-5</t>
  </si>
  <si>
    <t xml:space="preserve">número da Portaria: </t>
  </si>
  <si>
    <t>Obra: Intervenções e Melhorias no Parque Aquático - DADETUR 2022</t>
  </si>
  <si>
    <r>
      <t xml:space="preserve">OBJETO: </t>
    </r>
    <r>
      <rPr>
        <sz val="10"/>
        <rFont val="Arial"/>
        <family val="2"/>
      </rPr>
      <t xml:space="preserve"> Intervenções e Melhorias no Parque Aquático - DADETUR 2022</t>
    </r>
  </si>
  <si>
    <t>Serviços Preliminates</t>
  </si>
  <si>
    <t>Pavimentação em Lajota de Concreto</t>
  </si>
  <si>
    <t>Cercamento Antigo Abrigo Salva Vidas</t>
  </si>
  <si>
    <t>Intervenções e Melhorias no Parque Aquático - DADETUR 2022</t>
  </si>
  <si>
    <t>Retirada de forro qualquer em placas ou tiras fixadas (Forro de madeira interno geral)</t>
  </si>
  <si>
    <t>Broca em concreto armado diâmetro de 25 cm - completa (para fundação)</t>
  </si>
  <si>
    <t>Armadura em barra de aço CA-50 (A ou B) fyk = 500 Mpa (baldrame+arranque da sapata)</t>
  </si>
  <si>
    <t>Demolição mecanizada de concreto armado, inclusive fragmentação e acomodação do material ( vigas e colunas)</t>
  </si>
  <si>
    <t>03.01.020</t>
  </si>
  <si>
    <t>2.11</t>
  </si>
  <si>
    <t>04.11.020</t>
  </si>
  <si>
    <t>unid</t>
  </si>
  <si>
    <t>2.12</t>
  </si>
  <si>
    <t>Retirada de divisória em placa de concreto, granito, granilite ou mármore</t>
  </si>
  <si>
    <t>04.01.060</t>
  </si>
  <si>
    <t>2.13</t>
  </si>
  <si>
    <t>Ralo sifonado em ferro fundido de 150 x 240 x 75 mm, com grelha</t>
  </si>
  <si>
    <t>49.05.040</t>
  </si>
  <si>
    <t>04.11.030</t>
  </si>
  <si>
    <t>2.14</t>
  </si>
  <si>
    <t>2,82*1,077*4= 12,15 m - Remoção de calha</t>
  </si>
  <si>
    <t>14,89*2+2,78*2= 35,34 m² - Retirada de forro</t>
  </si>
  <si>
    <t>2,1*0,8*2+(6*0,6*1,8)= 9,84 m² - Retirada de esquadrias metálicas</t>
  </si>
  <si>
    <t>(14,89*2)+(2,59*2)+(13,23*2*2)+(2,34*2*2)= 97,24 m² - piso e parede</t>
  </si>
  <si>
    <t>Retirada de bancada incluindo pertences</t>
  </si>
  <si>
    <t>0,86*2= 1,72 m² - Retirada de bancada</t>
  </si>
  <si>
    <t>Retirada de divisória</t>
  </si>
  <si>
    <t>1,2*0,6*2+(2*0,6*4)= 6,24 m² - para janelas</t>
  </si>
  <si>
    <t>1,3*2*3+(0,3*2*2)+(0,4*1,2*2)= 9,96 m² - para divisórias</t>
  </si>
  <si>
    <t>16.3</t>
  </si>
  <si>
    <t>(2,38*2+1,55*2)*0,14*0,2= 0,22 m³ - para vergas e contravergas</t>
  </si>
  <si>
    <t>6,24+(7,56*2)= 21,36 m² - para superficies metálicas</t>
  </si>
  <si>
    <t>(3,15*2*2)*1,05= 13,23 m² - Para revestimento externo indicado em projeto</t>
  </si>
  <si>
    <t>ST-PRC-2022-00186-DM</t>
  </si>
  <si>
    <t>Remoção de entulho de obra com caçamba metálica - material volumoso e misturado por alvenaria, terra, madeira, papel, plástico e metal</t>
  </si>
  <si>
    <t>05.07.050</t>
  </si>
  <si>
    <t>REATERRO MANUAL APILOADO SEM CONTROLE DE COMPACTAÇÃO</t>
  </si>
  <si>
    <t>2.15</t>
  </si>
  <si>
    <t>PROJETO DE CORTE E ATERRO</t>
  </si>
  <si>
    <t>7,41+4,59+3,58+4,46+2,65+3,58+1,11+1,24+2+4,58+4,75+6,02+1,68+3,47+(1,64*3)+(0,86*5)= 60,34 m - PARA REDE HIDRÁULICA</t>
  </si>
  <si>
    <t>CONCRETO USINADO, FCK = 20 MPA</t>
  </si>
  <si>
    <t>11.16.040</t>
  </si>
  <si>
    <t>LANÇAMENTO E ADENSAMENTO DE CONCRETO OU MASSA EM FUNDAÇÃO</t>
  </si>
  <si>
    <t>FORMA EM MADEIRA COMUM PARA FUNDAÇÃO</t>
  </si>
  <si>
    <t>ALVENARIA DE BLOCO CERÂMICO DE VEDAÇÃO, USO REVESTIDO, DE 19 CM</t>
  </si>
  <si>
    <t>17.02.030</t>
  </si>
  <si>
    <t>CHAPISCO 1:4 COM AREIA GROSSA</t>
  </si>
  <si>
    <t>17.02.140</t>
  </si>
  <si>
    <t>EMBOÇO DESEMPENADO COM ESPUMA DE POLIÉSTER</t>
  </si>
  <si>
    <t>TINTA ACRÍLICA ANTIMOFO EM MASSA, INCLUSIVE PREPARO</t>
  </si>
  <si>
    <t>6.7</t>
  </si>
  <si>
    <t>6.8</t>
  </si>
  <si>
    <t>6.9</t>
  </si>
  <si>
    <t>34.02.020</t>
  </si>
  <si>
    <t>PLANTIO DE GRAMA BATATAIS EM PLACAS (PRAÇAS E ÁREAS ABERTAS)</t>
  </si>
  <si>
    <t>(92,74*1,16 )+65,49+69,27=242,33M² - para praças e áreas abertas</t>
  </si>
  <si>
    <t>Demolição manual de alvenaria de elevação ou elemento vazado, incluindo revestimento (banheiro interno indicados em amarelo no projeto+caixa de inspeção existente)</t>
  </si>
  <si>
    <t>04.30.060</t>
  </si>
  <si>
    <t>2.16</t>
  </si>
  <si>
    <t>Remoção de tubulação hidráulica em geral, incluindo conexões, caixas e ralos (LINHA DE ESGOTO EXTERNA EXISTENTE)</t>
  </si>
  <si>
    <t>Retirada de aparelho sanitário incluindo acessórios (5 bacias sanitárias + 2 mictórios)</t>
  </si>
  <si>
    <t>Forma em madeira comum para fundação (para sapatas e baldrames)</t>
  </si>
  <si>
    <t>Telha de barro tipo italiana</t>
  </si>
  <si>
    <t>16.02.010</t>
  </si>
  <si>
    <t>33.02.080</t>
  </si>
  <si>
    <t>Massa corrida à base de resina acrílica (interno e forro)</t>
  </si>
  <si>
    <t>PISO EM LADRILHO HIDRÁULICO PODOTÁTIL VÁRIAS CORES (25X25CM), ASSENTADO COM ARGAMASSA MISTA</t>
  </si>
  <si>
    <t>Contrapartida da Prefeitura</t>
  </si>
  <si>
    <t>2.17</t>
  </si>
  <si>
    <t>2.18</t>
  </si>
  <si>
    <t>((0,25*0,15*4)+(1,81*0,25*0,15*2))*2= 0,57 m³ - vigas e colunas</t>
  </si>
  <si>
    <t>10,41*2*1,077= 22,42 m² - retirada de telhas</t>
  </si>
  <si>
    <t>10,41*1,077*2= 22,42 m² - retirada de estrutura do telhado</t>
  </si>
  <si>
    <t>Retirada de 5 bacias sanitárias e 2 mictórios</t>
  </si>
  <si>
    <t>16,8*0,4*0,25= 1,68 m³ - para caixa de inspeção</t>
  </si>
  <si>
    <t>4,2*4= 16,80 m - para remoção de linha de esgoto externa existente</t>
  </si>
  <si>
    <t xml:space="preserve">(2,51*0,6*2)*1,3+1,68 = 5,60 m³ - para reaterro </t>
  </si>
  <si>
    <t>(1,7+1,25+3,5+3,15+1,11)*2*0,2*0,3+(0,6*0,6*0,35*10)= 2,55 m³ - para sapatas e baldrames</t>
  </si>
  <si>
    <t>((1,7+1,25+3,5+3,15+1,11))*2*0,3*0,2= 1,29 m³ - para baldrames</t>
  </si>
  <si>
    <t>1,29*90*0,8+(1,5*4*0,56)= 95,89 kg - para baldrames e arranque das sapatas</t>
  </si>
  <si>
    <t>1,29*90*0,2= 23,13 kg - para baldrames</t>
  </si>
  <si>
    <t>((6,84+3,5)*2+(14,25*2))*0,05= 2,46 m³ - para contrapiso</t>
  </si>
  <si>
    <t>(0,6*0,6*10*0,03)+(((1,7+1,25+3,5+3,15+1,11)*0,2*2)*0,03)= 0,24 m³ - para sapatas e baldrames</t>
  </si>
  <si>
    <t>(0,6*4*0,35*10)+((1,7+1,25+3,5+3,15+1,11)*2*0,6)= 21,25 m²- para baldrames</t>
  </si>
  <si>
    <t>(6,84+3,5+14,25)*2*0,15)= 7,38 m³ - para sapatas e baldrames e contrapiso</t>
  </si>
  <si>
    <t>10*0,15*0,25*3 = 1,13 m³ - para pilares</t>
  </si>
  <si>
    <t>1,13*90*0,8=81,00 kg - para pilares</t>
  </si>
  <si>
    <t>1,13*90*0,2= 20,25 kg - para pilares</t>
  </si>
  <si>
    <t>0,25*2*3*10= 15,00 m² - para pilares</t>
  </si>
  <si>
    <t>(3,15+3,15+3,5+1,25+1,81)*0,25*0,15*2= 0,96 m³ - para vigas</t>
  </si>
  <si>
    <t>0,96*90*0,8= 69,44 kg - para vigas</t>
  </si>
  <si>
    <t>0,96*90*0,2=17,36 kg - para vigas</t>
  </si>
  <si>
    <t>(3,15+3,15+3,5+1,25+1,81)*0,5*2= 12,86 m²- para vigas</t>
  </si>
  <si>
    <t>(1,7+1,25+3,5+3,15+1,11)*2,75*2 = 58,91 m² - para alvenaria de vedação</t>
  </si>
  <si>
    <t>22,12*2*1,077= 47,65 m² - estrutura para cobertura</t>
  </si>
  <si>
    <t>22,12*2*1,077= 47,65 m² -  para cobertura</t>
  </si>
  <si>
    <t>5,6*2= 11,20 m - cumeeira</t>
  </si>
  <si>
    <t>(5,07+5,07+(3,6*4))*1,077=  26,43 m - testeira</t>
  </si>
  <si>
    <t>(5,07+5,07+(3,6*4))*1,077=  26,43 m - para rufos</t>
  </si>
  <si>
    <t>3,7*4*1,077= 15,94 m - para agua furtada</t>
  </si>
  <si>
    <t>49,18 m²  - forro em gesso acartonado</t>
  </si>
  <si>
    <t>26,57*1,077= 28,62 m² - para lambril</t>
  </si>
  <si>
    <t>(14,84*3*2)+(18,43*3*2)+((3,15+3,15+3,5)*3,2*2)= 262,34 - para chapisco</t>
  </si>
  <si>
    <t>(14,84*3*2)+(18,43*3*2)+((3,15+3,15+3,5)*3,2*2)= 262,34 - para emboço</t>
  </si>
  <si>
    <t>((14,84*2*2)+(11,01*2*2)+(1,81*4*2)+(49,18))*1,05= 175,41 m² - para piso e paredes</t>
  </si>
  <si>
    <t>(1,7+1,25+3,5+3,15+1,11)*2*0,75*0,02= 0,32 m³ para baldrames</t>
  </si>
  <si>
    <t>(1,7+1,25+3,5+3,15+1,11)*2*0,75= 16,07 m² - para baldrame</t>
  </si>
  <si>
    <t>((14,84*2*1)+(11,01*1*2)+(7,4*2*1)+(49,18))+((38,82*3,2)-13,23)= 226,67 m² - para pintura externa interna e forro</t>
  </si>
  <si>
    <t>((14,84*2*1)+(11,01*1*2)+(7,4*2*1)+(49,18))= 115,68 m² - para interno e forro</t>
  </si>
  <si>
    <t>28,62*1,077= 33,90 m² - para lambril</t>
  </si>
  <si>
    <t>11.4</t>
  </si>
  <si>
    <t>(1+1,5+1,65+2+1,1+1,4+1,35+1,17)*2+(6,77+1,6+1,35+2+1,4+1,5)+(10*2,5)+6= 67,96 m - PARA REDE ELÉTRICA</t>
  </si>
  <si>
    <t>67,96*3= 203,88 m - PARA REDE ELÉTRICA</t>
  </si>
  <si>
    <t>2,07+2,07+0,7+0,7+2,2+0,8+0,8+2,66= 12,00 m - PARA REDE HIDRÁULICA</t>
  </si>
  <si>
    <t>1,5+1,5+2,2+2,2+2,4+2,4+3,8+1,5+1,5+6= 25,00 m - PARA REDE HIDRÁULICA</t>
  </si>
  <si>
    <t>2,4*0,8*2+1,25*0,8*2= 5,84 m² - PARA BANHEIROS</t>
  </si>
  <si>
    <t>45,16*0,05=2,26 m³ - para piso externo</t>
  </si>
  <si>
    <t>45,16*0,15= 6,77 m³ - para calçada externa</t>
  </si>
  <si>
    <t>5*4,15=20,75M²</t>
  </si>
  <si>
    <t>(68,82+30,66)*0,05=4,97M³</t>
  </si>
  <si>
    <t>(25+30+27,67)*1,20=99,20M</t>
  </si>
  <si>
    <t>Lavatório em louça com coluna suspensa</t>
  </si>
  <si>
    <t>44.01.240</t>
  </si>
  <si>
    <t>Barra de apoio em ângulo de 90°, para pessoas com mobilidade reduzida, em tubo de aço inoxidável de 1 1/2´ x 800 x 800 mm</t>
  </si>
  <si>
    <t>30.01.050</t>
  </si>
  <si>
    <t>15.24</t>
  </si>
  <si>
    <t>BANCO ARTICULADO, EM ACO INOX, PARA PCD, FIXADO NA PAREDE - FORNECIMENTO E INSTALAÇÃO. AF_01/2020</t>
  </si>
  <si>
    <t>15.25</t>
  </si>
  <si>
    <t>15.26</t>
  </si>
  <si>
    <t>PARA BOX DOS SANITÁRIOS ACESSÍVEIS</t>
  </si>
  <si>
    <t>Demolição manual de concreto simples (piso externo e interno+ demolição tubo de concreto)</t>
  </si>
  <si>
    <t>Chuveiro com válvula de acionamento antivandalismo, DN= 3/4´</t>
  </si>
  <si>
    <t>43.02.070</t>
  </si>
  <si>
    <t>SINAPI/2022</t>
  </si>
  <si>
    <t xml:space="preserve">14,85*3*2+(1,81*4*3)= 110,82 m² - Demolição de massa de parede </t>
  </si>
  <si>
    <t>(31,75*0,05)+(14,84*2*0,05)+(2,76*2*0,05)+(3,14*1,5*0,1*2)= 4,29 m³ - para piso externo e interno</t>
  </si>
  <si>
    <t>2,00+0,57+(110,82*0,02)+(35,34*0,01)+(97,24*0,01)= 6,11 m³ - para retirada de entulho</t>
  </si>
  <si>
    <t>2 CHUVEIROS PARA BOX DOS BANHEITOS ACESSÍVEIS</t>
  </si>
  <si>
    <t>BANCO PARA FIXAR DENTRO DOS BOX ACCESSÍVEIS</t>
  </si>
  <si>
    <t>15.20.020</t>
  </si>
  <si>
    <t>FORNECIMENTO DE PEÇAS DIVERSAS PARA ESTRUTURA EM MADEIRA</t>
  </si>
  <si>
    <t>0,10*0,10*1,30*4*30=1,56M³</t>
  </si>
  <si>
    <t>1,65*0,46*0,10*30=2,27M³</t>
  </si>
  <si>
    <t>1,65+1,65+0,46+0,46*0,10*30=12,66M²</t>
  </si>
  <si>
    <t>0,50*0,46*2*30=13,80M²</t>
  </si>
  <si>
    <t>0,50*0,46*2*30*2=27,60M²</t>
  </si>
  <si>
    <t>(0,5*0,15*2,8*2)+(0,69*2*0,15*4)+(3,14*1,5*0,1*2)= 2,19 m³ - banheiro interno existente e caixa de inspeção existente</t>
  </si>
  <si>
    <t>PARA CHUVEIRO NO LADO DE FORA e DOIS PARA BOX BANHEIRO ACESSÍVEL</t>
  </si>
  <si>
    <t>2*2,33*1,40/2=2,26 M²</t>
  </si>
  <si>
    <t>14,18+59,69= 73,87M²</t>
  </si>
  <si>
    <t xml:space="preserve">Concreto usinado, fck = 20,0 Mpa </t>
  </si>
  <si>
    <t xml:space="preserve">Lançamento, espalhamento e adensamento de concreto ou massa em lastro e/ou enchimento </t>
  </si>
  <si>
    <t>73,87*0,035= 2,59 m³ - fundo do piso podotátil</t>
  </si>
  <si>
    <t>16.4</t>
  </si>
  <si>
    <t>Arq. Renato Alves Botelho</t>
  </si>
  <si>
    <t>cj.</t>
  </si>
  <si>
    <t>Sub Total s/ Mercado</t>
  </si>
  <si>
    <t>Levantamento planimétrico de área pavimentada para veículo e pedestre</t>
  </si>
  <si>
    <t>01.20.280</t>
  </si>
  <si>
    <t>LEVANTAMENTO PLANIALTIMÉTRICO</t>
  </si>
  <si>
    <t>CDHU/187</t>
  </si>
  <si>
    <t>CDHU 187 - DESONERADA</t>
  </si>
  <si>
    <t>AGOSTO DE 2022</t>
  </si>
  <si>
    <r>
      <rPr>
        <b/>
        <sz val="10"/>
        <rFont val="Arial"/>
        <family val="2"/>
      </rPr>
      <t xml:space="preserve">DATA: </t>
    </r>
    <r>
      <rPr>
        <sz val="10"/>
        <rFont val="Arial"/>
        <family val="2"/>
      </rPr>
      <t xml:space="preserve"> Novembro/2022</t>
    </r>
  </si>
  <si>
    <t>Paraguaçu Paulista, 04 de Novembro de 2022.</t>
  </si>
  <si>
    <t>Paraguaçu Paulista, 04 de novembro de 2022.</t>
  </si>
  <si>
    <t>Data: Novembro/2022</t>
  </si>
  <si>
    <t>Base: CDHU/187 - Agosto/2022 - Desonerada</t>
  </si>
  <si>
    <t>RRT: 12103113</t>
  </si>
  <si>
    <t xml:space="preserve">CAU Nº.: A68216-0
</t>
  </si>
  <si>
    <t>CAU Nº.: A68216-0</t>
  </si>
  <si>
    <t>BDI  (%)</t>
  </si>
  <si>
    <t>Sub Total  Mercado</t>
  </si>
  <si>
    <t>SEGUNDO FOLHA Nº 5 - PROJETO</t>
  </si>
  <si>
    <t xml:space="preserve"> SEGUNDO FOLHA DE  Nº4 - PROJETO</t>
  </si>
  <si>
    <t>SEGUNDO FOLHA Nº7 - PROJETO</t>
  </si>
  <si>
    <t>SEGUNDO FOLHA Nº 13- PROJETO</t>
  </si>
  <si>
    <t>SEGUNDO FOLHA Nº3 - PROJETO</t>
  </si>
</sst>
</file>

<file path=xl/styles.xml><?xml version="1.0" encoding="utf-8"?>
<styleSheet xmlns="http://schemas.openxmlformats.org/spreadsheetml/2006/main">
  <numFmts count="9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[$$-409]* #,##0.00_ ;_-[$$-409]* \-#,##0.00\ ;_-[$$-409]* &quot;-&quot;??_ ;_-@_ "/>
    <numFmt numFmtId="165" formatCode="_-&quot;R$&quot;\ * #,##0.000_-;\-&quot;R$&quot;\ * #,##0.000_-;_-&quot;R$&quot;\ * &quot;-&quot;??_-;_-@_-"/>
    <numFmt numFmtId="166" formatCode="&quot;R$&quot;\ #,##0.00"/>
    <numFmt numFmtId="167" formatCode="[$R$-416]\ #,##0.00;[Red]\-[$R$-416]\ #,##0.00"/>
    <numFmt numFmtId="168" formatCode="&quot; R$ &quot;* #,##0.00\ ;&quot;-R$ &quot;* #,##0.00\ ;&quot; R$ &quot;* \-#\ ;@\ "/>
    <numFmt numFmtId="169" formatCode="_-[$R$-416]\ * #,##0.00_-;\-[$R$-416]\ * #,##0.00_-;_-[$R$-416]\ * &quot;-&quot;??_-;_-@_-"/>
  </numFmts>
  <fonts count="57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3.5"/>
      <color theme="1"/>
      <name val="Arial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  <charset val="1"/>
    </font>
    <font>
      <sz val="10"/>
      <name val="MS Sans Serif"/>
      <family val="2"/>
    </font>
    <font>
      <sz val="10"/>
      <name val="MS Sans Serif"/>
    </font>
    <font>
      <b/>
      <sz val="13.5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  <charset val="1"/>
    </font>
    <font>
      <b/>
      <sz val="8"/>
      <name val="Arial"/>
      <family val="2"/>
      <charset val="1"/>
    </font>
    <font>
      <sz val="8"/>
      <name val="Arial"/>
      <family val="2"/>
      <charset val="1"/>
    </font>
    <font>
      <sz val="8"/>
      <color rgb="FF000000"/>
      <name val="Arial"/>
      <family val="2"/>
      <charset val="1"/>
    </font>
    <font>
      <b/>
      <sz val="11"/>
      <name val="Arial"/>
      <family val="2"/>
      <charset val="1"/>
    </font>
    <font>
      <b/>
      <sz val="9"/>
      <color rgb="FF000000"/>
      <name val="Arial"/>
      <family val="2"/>
      <charset val="1"/>
    </font>
    <font>
      <b/>
      <sz val="9"/>
      <name val="Arial"/>
      <family val="2"/>
      <charset val="1"/>
    </font>
    <font>
      <sz val="10"/>
      <color rgb="FF000000"/>
      <name val="Times New Roman"/>
      <family val="1"/>
      <charset val="1"/>
    </font>
    <font>
      <sz val="10"/>
      <color rgb="FF000000"/>
      <name val="Arial"/>
      <family val="2"/>
      <charset val="1"/>
    </font>
    <font>
      <sz val="10"/>
      <color theme="1"/>
      <name val="Arial"/>
      <family val="2"/>
    </font>
    <font>
      <sz val="11"/>
      <color rgb="FF000000"/>
      <name val="Times New Roman"/>
      <family val="1"/>
      <charset val="1"/>
    </font>
    <font>
      <sz val="11"/>
      <name val="Arial"/>
      <family val="2"/>
      <charset val="1"/>
    </font>
    <font>
      <b/>
      <sz val="9"/>
      <name val="Arial"/>
      <family val="2"/>
    </font>
    <font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6"/>
      <name val="Calibri"/>
      <family val="2"/>
      <scheme val="minor"/>
    </font>
    <font>
      <b/>
      <sz val="8"/>
      <name val="Calibri"/>
      <family val="2"/>
      <scheme val="minor"/>
    </font>
    <font>
      <b/>
      <u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u/>
      <sz val="10"/>
      <name val="MS Sans Serif"/>
      <family val="2"/>
    </font>
    <font>
      <sz val="11"/>
      <color theme="1"/>
      <name val="MS Sans Serif"/>
      <family val="2"/>
    </font>
    <font>
      <sz val="10"/>
      <color rgb="FFFF0000"/>
      <name val="MS Sans Serif"/>
      <family val="2"/>
    </font>
    <font>
      <sz val="11"/>
      <color rgb="FFFF0000"/>
      <name val="Arial"/>
      <family val="2"/>
    </font>
    <font>
      <b/>
      <sz val="11"/>
      <color rgb="FFFF0000"/>
      <name val="Arial"/>
      <family val="2"/>
    </font>
    <font>
      <sz val="11"/>
      <name val="CIDFont+F3"/>
    </font>
    <font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0F0F0"/>
      </patternFill>
    </fill>
    <fill>
      <patternFill patternType="solid">
        <fgColor rgb="FFD9D9D9"/>
        <bgColor rgb="FFD8D8D8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auto="1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1" fillId="0" borderId="0"/>
    <xf numFmtId="9" fontId="11" fillId="0" borderId="0" applyBorder="0" applyProtection="0"/>
    <xf numFmtId="9" fontId="11" fillId="0" borderId="0" applyBorder="0" applyProtection="0"/>
    <xf numFmtId="0" fontId="12" fillId="0" borderId="0"/>
    <xf numFmtId="166" fontId="11" fillId="0" borderId="0" applyBorder="0" applyProtection="0"/>
    <xf numFmtId="0" fontId="12" fillId="0" borderId="0"/>
    <xf numFmtId="44" fontId="12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6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2" borderId="1" xfId="0" applyFont="1" applyFill="1" applyBorder="1"/>
    <xf numFmtId="0" fontId="2" fillId="0" borderId="6" xfId="0" applyFont="1" applyBorder="1" applyAlignment="1"/>
    <xf numFmtId="0" fontId="2" fillId="0" borderId="2" xfId="0" applyFont="1" applyBorder="1" applyAlignment="1"/>
    <xf numFmtId="0" fontId="1" fillId="0" borderId="1" xfId="0" applyFont="1" applyBorder="1" applyAlignment="1">
      <alignment horizontal="center"/>
    </xf>
    <xf numFmtId="0" fontId="3" fillId="2" borderId="1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/>
    <xf numFmtId="0" fontId="1" fillId="2" borderId="1" xfId="0" applyFont="1" applyFill="1" applyBorder="1" applyAlignment="1">
      <alignment horizontal="center"/>
    </xf>
    <xf numFmtId="44" fontId="1" fillId="0" borderId="1" xfId="1" applyFont="1" applyBorder="1"/>
    <xf numFmtId="44" fontId="1" fillId="2" borderId="1" xfId="1" applyFont="1" applyFill="1" applyBorder="1"/>
    <xf numFmtId="44" fontId="3" fillId="2" borderId="1" xfId="1" applyFont="1" applyFill="1" applyBorder="1"/>
    <xf numFmtId="2" fontId="1" fillId="0" borderId="1" xfId="0" applyNumberFormat="1" applyFont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44" fontId="3" fillId="0" borderId="1" xfId="1" applyFont="1" applyBorder="1"/>
    <xf numFmtId="44" fontId="3" fillId="0" borderId="1" xfId="1" applyFont="1" applyBorder="1" applyAlignment="1">
      <alignment horizontal="center"/>
    </xf>
    <xf numFmtId="44" fontId="0" fillId="0" borderId="0" xfId="0" applyNumberFormat="1"/>
    <xf numFmtId="1" fontId="1" fillId="0" borderId="1" xfId="0" applyNumberFormat="1" applyFont="1" applyBorder="1" applyAlignment="1">
      <alignment horizontal="center"/>
    </xf>
    <xf numFmtId="8" fontId="1" fillId="0" borderId="0" xfId="0" applyNumberFormat="1" applyFo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right"/>
    </xf>
    <xf numFmtId="0" fontId="8" fillId="0" borderId="1" xfId="0" applyFont="1" applyBorder="1" applyAlignment="1">
      <alignment horizontal="right" wrapText="1"/>
    </xf>
    <xf numFmtId="0" fontId="8" fillId="0" borderId="1" xfId="0" applyFont="1" applyBorder="1" applyAlignment="1">
      <alignment horizontal="right"/>
    </xf>
    <xf numFmtId="0" fontId="10" fillId="0" borderId="0" xfId="0" applyFont="1"/>
    <xf numFmtId="2" fontId="1" fillId="0" borderId="1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left" wrapText="1"/>
    </xf>
    <xf numFmtId="44" fontId="0" fillId="0" borderId="0" xfId="1" applyFont="1"/>
    <xf numFmtId="2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44" fontId="1" fillId="0" borderId="1" xfId="1" applyFont="1" applyFill="1" applyBorder="1"/>
    <xf numFmtId="0" fontId="0" fillId="0" borderId="0" xfId="0" applyFill="1"/>
    <xf numFmtId="0" fontId="7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44" fontId="0" fillId="0" borderId="0" xfId="0" applyNumberFormat="1" applyFill="1"/>
    <xf numFmtId="0" fontId="10" fillId="0" borderId="0" xfId="0" applyFont="1" applyFill="1"/>
    <xf numFmtId="0" fontId="1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/>
    </xf>
    <xf numFmtId="44" fontId="0" fillId="0" borderId="0" xfId="1" applyFont="1" applyFill="1"/>
    <xf numFmtId="164" fontId="0" fillId="0" borderId="0" xfId="0" applyNumberFormat="1" applyFill="1"/>
    <xf numFmtId="165" fontId="0" fillId="0" borderId="0" xfId="1" applyNumberFormat="1" applyFont="1" applyFill="1"/>
    <xf numFmtId="0" fontId="1" fillId="0" borderId="1" xfId="0" applyFont="1" applyFill="1" applyBorder="1"/>
    <xf numFmtId="9" fontId="8" fillId="0" borderId="1" xfId="2" applyNumberFormat="1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/>
    </xf>
    <xf numFmtId="2" fontId="0" fillId="0" borderId="0" xfId="0" applyNumberFormat="1" applyFill="1"/>
    <xf numFmtId="2" fontId="0" fillId="0" borderId="0" xfId="0" applyNumberFormat="1" applyFill="1" applyAlignment="1">
      <alignment horizontal="left" indent="2"/>
    </xf>
    <xf numFmtId="0" fontId="3" fillId="0" borderId="1" xfId="0" applyFont="1" applyFill="1" applyBorder="1" applyAlignment="1">
      <alignment horizontal="right"/>
    </xf>
    <xf numFmtId="44" fontId="3" fillId="0" borderId="1" xfId="1" applyFont="1" applyFill="1" applyBorder="1"/>
    <xf numFmtId="2" fontId="7" fillId="0" borderId="1" xfId="0" applyNumberFormat="1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0" fontId="0" fillId="0" borderId="0" xfId="0" applyBorder="1"/>
    <xf numFmtId="44" fontId="0" fillId="0" borderId="0" xfId="0" applyNumberFormat="1" applyBorder="1"/>
    <xf numFmtId="44" fontId="0" fillId="4" borderId="0" xfId="0" applyNumberFormat="1" applyFill="1" applyBorder="1"/>
    <xf numFmtId="44" fontId="0" fillId="0" borderId="0" xfId="1" applyFont="1" applyBorder="1"/>
    <xf numFmtId="0" fontId="1" fillId="0" borderId="0" xfId="0" applyFont="1" applyFill="1" applyBorder="1" applyAlignment="1">
      <alignment horizontal="center"/>
    </xf>
    <xf numFmtId="0" fontId="2" fillId="0" borderId="9" xfId="0" applyFont="1" applyBorder="1" applyAlignment="1"/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0" xfId="0" applyFont="1" applyBorder="1" applyAlignment="1"/>
    <xf numFmtId="2" fontId="1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11" fillId="0" borderId="0" xfId="3"/>
    <xf numFmtId="0" fontId="15" fillId="0" borderId="6" xfId="3" applyFont="1" applyBorder="1" applyAlignment="1"/>
    <xf numFmtId="0" fontId="15" fillId="0" borderId="0" xfId="3" applyFont="1" applyBorder="1" applyAlignment="1"/>
    <xf numFmtId="0" fontId="15" fillId="0" borderId="7" xfId="3" applyFont="1" applyBorder="1" applyAlignment="1"/>
    <xf numFmtId="10" fontId="19" fillId="6" borderId="0" xfId="3" applyNumberFormat="1" applyFont="1" applyFill="1" applyBorder="1" applyAlignment="1">
      <alignment horizontal="center" vertical="top" wrapText="1"/>
    </xf>
    <xf numFmtId="0" fontId="11" fillId="6" borderId="3" xfId="3" applyFill="1" applyBorder="1" applyAlignment="1">
      <alignment horizontal="left" vertical="top" wrapText="1"/>
    </xf>
    <xf numFmtId="0" fontId="11" fillId="6" borderId="4" xfId="3" applyFill="1" applyBorder="1" applyAlignment="1">
      <alignment horizontal="left" vertical="top" wrapText="1"/>
    </xf>
    <xf numFmtId="0" fontId="20" fillId="6" borderId="5" xfId="3" applyFont="1" applyFill="1" applyBorder="1" applyAlignment="1">
      <alignment horizontal="right" vertical="top" wrapText="1"/>
    </xf>
    <xf numFmtId="0" fontId="21" fillId="6" borderId="14" xfId="3" applyFont="1" applyFill="1" applyBorder="1" applyAlignment="1">
      <alignment horizontal="right" vertical="top" wrapText="1"/>
    </xf>
    <xf numFmtId="1" fontId="22" fillId="6" borderId="14" xfId="3" applyNumberFormat="1" applyFont="1" applyFill="1" applyBorder="1" applyAlignment="1">
      <alignment horizontal="right" vertical="top" wrapText="1"/>
    </xf>
    <xf numFmtId="10" fontId="11" fillId="6" borderId="5" xfId="3" applyNumberFormat="1" applyFont="1" applyFill="1" applyBorder="1" applyAlignment="1">
      <alignment horizontal="center" vertical="top" wrapText="1"/>
    </xf>
    <xf numFmtId="10" fontId="11" fillId="6" borderId="13" xfId="3" applyNumberFormat="1" applyFont="1" applyFill="1" applyBorder="1" applyAlignment="1">
      <alignment horizontal="center" vertical="top" wrapText="1"/>
    </xf>
    <xf numFmtId="10" fontId="24" fillId="5" borderId="13" xfId="3" applyNumberFormat="1" applyFont="1" applyFill="1" applyBorder="1" applyAlignment="1">
      <alignment horizontal="right" vertical="top" wrapText="1"/>
    </xf>
    <xf numFmtId="2" fontId="11" fillId="0" borderId="0" xfId="3" applyNumberFormat="1"/>
    <xf numFmtId="167" fontId="11" fillId="0" borderId="9" xfId="3" applyNumberFormat="1" applyFont="1" applyBorder="1" applyAlignment="1" applyProtection="1">
      <alignment horizontal="center" vertical="top" wrapText="1"/>
    </xf>
    <xf numFmtId="167" fontId="25" fillId="5" borderId="14" xfId="3" applyNumberFormat="1" applyFont="1" applyFill="1" applyBorder="1" applyAlignment="1" applyProtection="1">
      <alignment horizontal="right" vertical="top" wrapText="1"/>
    </xf>
    <xf numFmtId="167" fontId="11" fillId="0" borderId="0" xfId="3" applyNumberFormat="1"/>
    <xf numFmtId="10" fontId="26" fillId="0" borderId="0" xfId="5" applyNumberFormat="1" applyFont="1" applyBorder="1" applyAlignment="1" applyProtection="1">
      <alignment horizontal="left" vertical="top"/>
    </xf>
    <xf numFmtId="44" fontId="26" fillId="0" borderId="0" xfId="1" applyFont="1" applyBorder="1" applyAlignment="1" applyProtection="1">
      <alignment horizontal="left" vertical="top"/>
    </xf>
    <xf numFmtId="0" fontId="11" fillId="0" borderId="9" xfId="3" applyFont="1" applyBorder="1" applyAlignment="1" applyProtection="1">
      <alignment horizontal="center" vertical="top" wrapText="1"/>
    </xf>
    <xf numFmtId="0" fontId="11" fillId="0" borderId="14" xfId="3" applyFont="1" applyBorder="1" applyAlignment="1" applyProtection="1">
      <alignment horizontal="center" vertical="top" wrapText="1"/>
    </xf>
    <xf numFmtId="167" fontId="11" fillId="0" borderId="14" xfId="3" applyNumberFormat="1" applyFont="1" applyBorder="1" applyAlignment="1" applyProtection="1">
      <alignment horizontal="center" vertical="top" wrapText="1"/>
    </xf>
    <xf numFmtId="44" fontId="11" fillId="0" borderId="14" xfId="1" applyFont="1" applyBorder="1" applyAlignment="1" applyProtection="1">
      <alignment horizontal="center" vertical="top" wrapText="1"/>
    </xf>
    <xf numFmtId="166" fontId="11" fillId="0" borderId="14" xfId="3" applyNumberFormat="1" applyFont="1" applyBorder="1" applyAlignment="1" applyProtection="1">
      <alignment horizontal="center" vertical="top" wrapText="1"/>
    </xf>
    <xf numFmtId="166" fontId="11" fillId="0" borderId="11" xfId="3" applyNumberFormat="1" applyFont="1" applyBorder="1" applyAlignment="1" applyProtection="1">
      <alignment horizontal="center" vertical="top" wrapText="1"/>
    </xf>
    <xf numFmtId="167" fontId="25" fillId="5" borderId="11" xfId="3" applyNumberFormat="1" applyFont="1" applyFill="1" applyBorder="1" applyAlignment="1" applyProtection="1">
      <alignment horizontal="right" vertical="top" wrapText="1"/>
    </xf>
    <xf numFmtId="10" fontId="11" fillId="6" borderId="3" xfId="3" applyNumberFormat="1" applyFont="1" applyFill="1" applyBorder="1" applyAlignment="1">
      <alignment horizontal="center" vertical="top" wrapText="1"/>
    </xf>
    <xf numFmtId="0" fontId="11" fillId="5" borderId="9" xfId="3" applyFont="1" applyFill="1" applyBorder="1" applyAlignment="1" applyProtection="1">
      <alignment horizontal="center" vertical="top" wrapText="1"/>
    </xf>
    <xf numFmtId="0" fontId="11" fillId="5" borderId="14" xfId="3" applyFont="1" applyFill="1" applyBorder="1" applyAlignment="1" applyProtection="1">
      <alignment horizontal="center" vertical="top" wrapText="1"/>
    </xf>
    <xf numFmtId="166" fontId="11" fillId="0" borderId="8" xfId="3" applyNumberFormat="1" applyFont="1" applyBorder="1" applyAlignment="1" applyProtection="1">
      <alignment horizontal="center" vertical="top" wrapText="1"/>
    </xf>
    <xf numFmtId="10" fontId="11" fillId="6" borderId="11" xfId="3" applyNumberFormat="1" applyFont="1" applyFill="1" applyBorder="1" applyAlignment="1">
      <alignment horizontal="center" vertical="top" wrapText="1"/>
    </xf>
    <xf numFmtId="10" fontId="24" fillId="5" borderId="11" xfId="3" applyNumberFormat="1" applyFont="1" applyFill="1" applyBorder="1" applyAlignment="1">
      <alignment horizontal="right" vertical="top" wrapText="1"/>
    </xf>
    <xf numFmtId="167" fontId="11" fillId="5" borderId="9" xfId="3" applyNumberFormat="1" applyFont="1" applyFill="1" applyBorder="1" applyAlignment="1" applyProtection="1">
      <alignment horizontal="center" vertical="top" wrapText="1"/>
    </xf>
    <xf numFmtId="167" fontId="25" fillId="0" borderId="14" xfId="3" applyNumberFormat="1" applyFont="1" applyFill="1" applyBorder="1" applyAlignment="1" applyProtection="1">
      <alignment horizontal="right" vertical="top" wrapText="1"/>
    </xf>
    <xf numFmtId="10" fontId="24" fillId="0" borderId="13" xfId="3" applyNumberFormat="1" applyFont="1" applyFill="1" applyBorder="1" applyAlignment="1">
      <alignment horizontal="right" vertical="top" wrapText="1"/>
    </xf>
    <xf numFmtId="167" fontId="11" fillId="2" borderId="7" xfId="3" applyNumberFormat="1" applyFont="1" applyFill="1" applyBorder="1" applyAlignment="1" applyProtection="1">
      <alignment horizontal="center" vertical="top" wrapText="1"/>
    </xf>
    <xf numFmtId="167" fontId="11" fillId="2" borderId="11" xfId="3" applyNumberFormat="1" applyFont="1" applyFill="1" applyBorder="1" applyAlignment="1" applyProtection="1">
      <alignment horizontal="center" vertical="top" wrapText="1"/>
    </xf>
    <xf numFmtId="10" fontId="11" fillId="2" borderId="11" xfId="3" applyNumberFormat="1" applyFont="1" applyFill="1" applyBorder="1" applyAlignment="1" applyProtection="1">
      <alignment horizontal="center" vertical="top" wrapText="1"/>
    </xf>
    <xf numFmtId="167" fontId="11" fillId="0" borderId="7" xfId="3" applyNumberFormat="1" applyFont="1" applyBorder="1" applyAlignment="1" applyProtection="1">
      <alignment horizontal="center" vertical="top" wrapText="1"/>
    </xf>
    <xf numFmtId="167" fontId="11" fillId="0" borderId="11" xfId="3" applyNumberFormat="1" applyFont="1" applyBorder="1" applyAlignment="1" applyProtection="1">
      <alignment horizontal="center" vertical="top" wrapText="1"/>
    </xf>
    <xf numFmtId="10" fontId="27" fillId="5" borderId="12" xfId="3" applyNumberFormat="1" applyFont="1" applyFill="1" applyBorder="1" applyAlignment="1">
      <alignment horizontal="center" vertical="top" wrapText="1"/>
    </xf>
    <xf numFmtId="10" fontId="28" fillId="5" borderId="12" xfId="3" applyNumberFormat="1" applyFont="1" applyFill="1" applyBorder="1" applyAlignment="1">
      <alignment horizontal="center" vertical="top" wrapText="1"/>
    </xf>
    <xf numFmtId="10" fontId="19" fillId="5" borderId="12" xfId="3" applyNumberFormat="1" applyFont="1" applyFill="1" applyBorder="1" applyAlignment="1">
      <alignment horizontal="center" vertical="top" wrapText="1"/>
    </xf>
    <xf numFmtId="9" fontId="24" fillId="5" borderId="1" xfId="2" applyFont="1" applyFill="1" applyBorder="1" applyAlignment="1" applyProtection="1">
      <alignment horizontal="right" vertical="top" wrapText="1"/>
    </xf>
    <xf numFmtId="2" fontId="11" fillId="0" borderId="0" xfId="3" applyNumberFormat="1" applyBorder="1" applyAlignment="1">
      <alignment horizontal="left" vertical="top"/>
    </xf>
    <xf numFmtId="168" fontId="11" fillId="0" borderId="0" xfId="3" applyNumberFormat="1" applyBorder="1" applyAlignment="1">
      <alignment horizontal="left" vertical="top"/>
    </xf>
    <xf numFmtId="167" fontId="27" fillId="5" borderId="1" xfId="3" applyNumberFormat="1" applyFont="1" applyFill="1" applyBorder="1" applyAlignment="1" applyProtection="1">
      <alignment horizontal="center" vertical="top" wrapText="1"/>
    </xf>
    <xf numFmtId="167" fontId="28" fillId="5" borderId="1" xfId="3" applyNumberFormat="1" applyFont="1" applyFill="1" applyBorder="1" applyAlignment="1" applyProtection="1">
      <alignment horizontal="center" vertical="top" wrapText="1"/>
    </xf>
    <xf numFmtId="167" fontId="19" fillId="5" borderId="1" xfId="3" applyNumberFormat="1" applyFont="1" applyFill="1" applyBorder="1" applyAlignment="1" applyProtection="1">
      <alignment horizontal="center" vertical="top" wrapText="1"/>
    </xf>
    <xf numFmtId="166" fontId="19" fillId="5" borderId="1" xfId="3" applyNumberFormat="1" applyFont="1" applyFill="1" applyBorder="1" applyAlignment="1" applyProtection="1">
      <alignment horizontal="center" vertical="top" wrapText="1"/>
    </xf>
    <xf numFmtId="167" fontId="24" fillId="5" borderId="1" xfId="3" applyNumberFormat="1" applyFont="1" applyFill="1" applyBorder="1" applyAlignment="1" applyProtection="1">
      <alignment horizontal="right" vertical="top" wrapText="1"/>
    </xf>
    <xf numFmtId="0" fontId="29" fillId="5" borderId="1" xfId="3" applyFont="1" applyFill="1" applyBorder="1" applyAlignment="1">
      <alignment horizontal="left" vertical="top" wrapText="1"/>
    </xf>
    <xf numFmtId="0" fontId="26" fillId="5" borderId="1" xfId="3" applyFont="1" applyFill="1" applyBorder="1" applyAlignment="1">
      <alignment horizontal="left" vertical="top" wrapText="1"/>
    </xf>
    <xf numFmtId="0" fontId="26" fillId="5" borderId="13" xfId="3" applyFont="1" applyFill="1" applyBorder="1" applyAlignment="1">
      <alignment horizontal="left" vertical="top" wrapText="1"/>
    </xf>
    <xf numFmtId="0" fontId="11" fillId="5" borderId="3" xfId="3" applyFill="1" applyBorder="1" applyAlignment="1">
      <alignment horizontal="left" vertical="top" wrapText="1"/>
    </xf>
    <xf numFmtId="0" fontId="11" fillId="5" borderId="4" xfId="3" applyFill="1" applyBorder="1" applyAlignment="1">
      <alignment horizontal="left" vertical="top" wrapText="1"/>
    </xf>
    <xf numFmtId="0" fontId="11" fillId="0" borderId="6" xfId="3" applyFont="1" applyBorder="1" applyAlignment="1"/>
    <xf numFmtId="0" fontId="11" fillId="0" borderId="0" xfId="3" applyFont="1" applyBorder="1" applyAlignment="1"/>
    <xf numFmtId="0" fontId="30" fillId="0" borderId="0" xfId="3" applyFont="1" applyBorder="1" applyAlignment="1"/>
    <xf numFmtId="44" fontId="10" fillId="0" borderId="0" xfId="0" applyNumberFormat="1" applyFont="1" applyFill="1"/>
    <xf numFmtId="44" fontId="32" fillId="0" borderId="0" xfId="0" applyNumberFormat="1" applyFont="1" applyFill="1"/>
    <xf numFmtId="167" fontId="11" fillId="0" borderId="14" xfId="3" applyNumberFormat="1" applyFont="1" applyFill="1" applyBorder="1" applyAlignment="1" applyProtection="1">
      <alignment horizontal="center" vertical="top" wrapText="1"/>
    </xf>
    <xf numFmtId="0" fontId="0" fillId="0" borderId="1" xfId="0" applyBorder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4" fontId="7" fillId="0" borderId="1" xfId="0" applyNumberFormat="1" applyFont="1" applyFill="1" applyBorder="1" applyAlignment="1">
      <alignment horizontal="center" vertical="center" wrapText="1"/>
    </xf>
    <xf numFmtId="44" fontId="1" fillId="0" borderId="1" xfId="0" applyNumberFormat="1" applyFont="1" applyBorder="1"/>
    <xf numFmtId="44" fontId="3" fillId="0" borderId="1" xfId="0" applyNumberFormat="1" applyFont="1" applyBorder="1"/>
    <xf numFmtId="0" fontId="7" fillId="8" borderId="1" xfId="0" applyFont="1" applyFill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8" fontId="7" fillId="0" borderId="1" xfId="0" applyNumberFormat="1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2" xfId="0" applyBorder="1"/>
    <xf numFmtId="0" fontId="0" fillId="0" borderId="9" xfId="0" applyBorder="1"/>
    <xf numFmtId="0" fontId="12" fillId="0" borderId="0" xfId="8" applyAlignment="1" applyProtection="1">
      <alignment vertical="center"/>
    </xf>
    <xf numFmtId="0" fontId="12" fillId="3" borderId="0" xfId="8" applyFill="1" applyBorder="1" applyAlignment="1" applyProtection="1">
      <alignment vertical="center"/>
    </xf>
    <xf numFmtId="0" fontId="12" fillId="3" borderId="0" xfId="8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35" fillId="0" borderId="0" xfId="8" applyFont="1" applyAlignment="1" applyProtection="1">
      <alignment horizontal="center" vertical="center"/>
    </xf>
    <xf numFmtId="0" fontId="35" fillId="3" borderId="0" xfId="8" applyFont="1" applyFill="1" applyBorder="1" applyAlignment="1" applyProtection="1">
      <alignment horizontal="center" vertical="center"/>
    </xf>
    <xf numFmtId="0" fontId="35" fillId="3" borderId="0" xfId="8" applyFont="1" applyFill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2" fillId="0" borderId="0" xfId="8" applyBorder="1" applyAlignment="1" applyProtection="1">
      <alignment vertical="center"/>
    </xf>
    <xf numFmtId="0" fontId="37" fillId="0" borderId="7" xfId="8" applyFont="1" applyBorder="1" applyAlignment="1" applyProtection="1">
      <alignment vertical="center"/>
    </xf>
    <xf numFmtId="0" fontId="12" fillId="0" borderId="7" xfId="8" applyBorder="1" applyAlignment="1" applyProtection="1">
      <alignment vertical="center"/>
    </xf>
    <xf numFmtId="0" fontId="6" fillId="3" borderId="0" xfId="8" applyFont="1" applyFill="1" applyBorder="1" applyAlignment="1" applyProtection="1">
      <alignment vertical="center"/>
    </xf>
    <xf numFmtId="0" fontId="39" fillId="0" borderId="0" xfId="8" applyFont="1" applyBorder="1" applyAlignment="1" applyProtection="1">
      <alignment vertical="center"/>
    </xf>
    <xf numFmtId="0" fontId="37" fillId="0" borderId="0" xfId="8" applyFont="1" applyBorder="1" applyAlignment="1" applyProtection="1">
      <alignment vertical="center"/>
    </xf>
    <xf numFmtId="0" fontId="36" fillId="0" borderId="0" xfId="8" applyFont="1" applyBorder="1" applyAlignment="1" applyProtection="1">
      <alignment vertical="center"/>
    </xf>
    <xf numFmtId="0" fontId="36" fillId="0" borderId="0" xfId="8" applyFont="1" applyBorder="1" applyAlignment="1" applyProtection="1">
      <alignment horizontal="centerContinuous" vertical="center"/>
    </xf>
    <xf numFmtId="0" fontId="37" fillId="3" borderId="0" xfId="8" applyFont="1" applyFill="1" applyBorder="1" applyAlignment="1" applyProtection="1">
      <alignment vertical="center" wrapText="1"/>
    </xf>
    <xf numFmtId="0" fontId="39" fillId="0" borderId="0" xfId="8" applyFont="1" applyBorder="1" applyAlignment="1" applyProtection="1">
      <alignment vertical="center" wrapText="1"/>
    </xf>
    <xf numFmtId="14" fontId="37" fillId="0" borderId="2" xfId="8" applyNumberFormat="1" applyFont="1" applyBorder="1" applyAlignment="1" applyProtection="1">
      <alignment vertical="center"/>
    </xf>
    <xf numFmtId="14" fontId="36" fillId="0" borderId="1" xfId="8" applyNumberFormat="1" applyFont="1" applyBorder="1" applyAlignment="1" applyProtection="1">
      <alignment horizontal="center" vertical="center" wrapText="1"/>
      <protection locked="0"/>
    </xf>
    <xf numFmtId="0" fontId="41" fillId="0" borderId="0" xfId="8" applyFont="1" applyBorder="1" applyAlignment="1" applyProtection="1">
      <alignment horizontal="left" vertical="center"/>
    </xf>
    <xf numFmtId="0" fontId="35" fillId="3" borderId="0" xfId="8" applyFont="1" applyFill="1" applyBorder="1" applyAlignment="1" applyProtection="1">
      <alignment vertical="center" wrapText="1"/>
    </xf>
    <xf numFmtId="0" fontId="37" fillId="0" borderId="0" xfId="8" applyFont="1" applyBorder="1" applyAlignment="1" applyProtection="1">
      <alignment horizontal="center" vertical="center"/>
    </xf>
    <xf numFmtId="0" fontId="6" fillId="3" borderId="0" xfId="8" applyFont="1" applyFill="1" applyBorder="1" applyAlignment="1" applyProtection="1">
      <alignment horizontal="left" vertical="center"/>
    </xf>
    <xf numFmtId="0" fontId="44" fillId="0" borderId="10" xfId="8" applyFont="1" applyBorder="1" applyAlignment="1" applyProtection="1">
      <alignment vertical="center" wrapText="1"/>
    </xf>
    <xf numFmtId="0" fontId="44" fillId="0" borderId="15" xfId="8" applyFont="1" applyBorder="1" applyAlignment="1" applyProtection="1">
      <alignment vertical="center" wrapText="1"/>
    </xf>
    <xf numFmtId="0" fontId="45" fillId="0" borderId="10" xfId="6" applyFont="1" applyBorder="1" applyAlignment="1" applyProtection="1">
      <alignment horizontal="right" vertical="center" wrapText="1"/>
    </xf>
    <xf numFmtId="0" fontId="36" fillId="0" borderId="15" xfId="6" applyFont="1" applyBorder="1" applyAlignment="1" applyProtection="1">
      <alignment horizontal="center" vertical="center" wrapText="1"/>
      <protection hidden="1"/>
    </xf>
    <xf numFmtId="0" fontId="45" fillId="0" borderId="15" xfId="6" applyFont="1" applyBorder="1" applyAlignment="1" applyProtection="1">
      <alignment vertical="center" wrapText="1"/>
    </xf>
    <xf numFmtId="0" fontId="45" fillId="0" borderId="12" xfId="6" applyFont="1" applyBorder="1" applyAlignment="1" applyProtection="1">
      <alignment vertical="center" wrapText="1"/>
    </xf>
    <xf numFmtId="0" fontId="40" fillId="0" borderId="0" xfId="6" applyFont="1" applyBorder="1" applyAlignment="1" applyProtection="1">
      <alignment horizontal="center" vertical="center" wrapText="1"/>
    </xf>
    <xf numFmtId="0" fontId="40" fillId="0" borderId="5" xfId="6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 vertical="center" indent="1"/>
    </xf>
    <xf numFmtId="0" fontId="40" fillId="0" borderId="0" xfId="6" applyFont="1" applyBorder="1" applyAlignment="1" applyProtection="1">
      <alignment horizontal="center" vertical="center" wrapText="1"/>
      <protection locked="0"/>
    </xf>
    <xf numFmtId="0" fontId="39" fillId="0" borderId="5" xfId="6" applyFont="1" applyBorder="1" applyAlignment="1" applyProtection="1">
      <alignment horizontal="center" vertical="center" wrapText="1"/>
    </xf>
    <xf numFmtId="0" fontId="40" fillId="3" borderId="0" xfId="8" applyFont="1" applyFill="1" applyBorder="1" applyAlignment="1" applyProtection="1">
      <alignment vertical="center" wrapText="1"/>
    </xf>
    <xf numFmtId="0" fontId="39" fillId="0" borderId="7" xfId="6" applyFont="1" applyBorder="1" applyAlignment="1" applyProtection="1">
      <alignment horizontal="center" vertical="center" wrapText="1"/>
    </xf>
    <xf numFmtId="0" fontId="40" fillId="0" borderId="7" xfId="6" applyFont="1" applyBorder="1" applyAlignment="1" applyProtection="1">
      <alignment horizontal="center" vertical="center" wrapText="1"/>
    </xf>
    <xf numFmtId="0" fontId="40" fillId="0" borderId="2" xfId="6" applyFont="1" applyBorder="1" applyAlignment="1" applyProtection="1">
      <alignment horizontal="center" vertical="center" wrapText="1"/>
    </xf>
    <xf numFmtId="0" fontId="40" fillId="0" borderId="9" xfId="6" applyFont="1" applyBorder="1" applyAlignment="1" applyProtection="1">
      <alignment horizontal="center" vertical="center" wrapText="1"/>
    </xf>
    <xf numFmtId="0" fontId="37" fillId="0" borderId="24" xfId="8" applyFont="1" applyBorder="1" applyAlignment="1" applyProtection="1">
      <alignment horizontal="center" vertical="center"/>
    </xf>
    <xf numFmtId="10" fontId="37" fillId="0" borderId="25" xfId="2" applyNumberFormat="1" applyFont="1" applyFill="1" applyBorder="1" applyAlignment="1" applyProtection="1">
      <alignment vertical="center" wrapText="1"/>
      <protection hidden="1"/>
    </xf>
    <xf numFmtId="10" fontId="37" fillId="0" borderId="25" xfId="2" applyNumberFormat="1" applyFont="1" applyBorder="1" applyAlignment="1" applyProtection="1">
      <alignment vertical="center" wrapText="1"/>
      <protection hidden="1"/>
    </xf>
    <xf numFmtId="10" fontId="37" fillId="0" borderId="26" xfId="2" applyNumberFormat="1" applyFont="1" applyBorder="1" applyAlignment="1" applyProtection="1">
      <alignment vertical="center" wrapText="1"/>
      <protection hidden="1"/>
    </xf>
    <xf numFmtId="10" fontId="37" fillId="0" borderId="27" xfId="2" applyNumberFormat="1" applyFont="1" applyBorder="1" applyAlignment="1" applyProtection="1">
      <alignment horizontal="center" vertical="center" wrapText="1"/>
      <protection hidden="1"/>
    </xf>
    <xf numFmtId="0" fontId="0" fillId="3" borderId="0" xfId="0" applyFill="1" applyBorder="1" applyAlignment="1" applyProtection="1">
      <alignment vertical="center"/>
    </xf>
    <xf numFmtId="0" fontId="0" fillId="3" borderId="0" xfId="0" applyFill="1" applyAlignment="1" applyProtection="1">
      <alignment vertical="center"/>
    </xf>
    <xf numFmtId="0" fontId="37" fillId="0" borderId="9" xfId="8" applyFont="1" applyBorder="1" applyAlignment="1" applyProtection="1">
      <alignment horizontal="center" vertical="center"/>
    </xf>
    <xf numFmtId="169" fontId="37" fillId="0" borderId="31" xfId="1" applyNumberFormat="1" applyFont="1" applyBorder="1" applyAlignment="1" applyProtection="1">
      <alignment horizontal="center" vertical="center"/>
      <protection hidden="1"/>
    </xf>
    <xf numFmtId="4" fontId="36" fillId="1" borderId="13" xfId="8" applyNumberFormat="1" applyFont="1" applyFill="1" applyBorder="1" applyAlignment="1" applyProtection="1">
      <alignment horizontal="center" vertical="center"/>
    </xf>
    <xf numFmtId="0" fontId="37" fillId="3" borderId="0" xfId="8" applyFont="1" applyFill="1" applyBorder="1" applyAlignment="1" applyProtection="1">
      <alignment horizontal="center" vertical="center"/>
    </xf>
    <xf numFmtId="0" fontId="37" fillId="3" borderId="0" xfId="8" applyFont="1" applyFill="1" applyAlignment="1" applyProtection="1">
      <alignment horizontal="center" vertical="center"/>
    </xf>
    <xf numFmtId="44" fontId="37" fillId="0" borderId="27" xfId="1" applyFont="1" applyFill="1" applyBorder="1" applyAlignment="1" applyProtection="1">
      <alignment horizontal="center" vertical="center"/>
      <protection hidden="1"/>
    </xf>
    <xf numFmtId="44" fontId="37" fillId="0" borderId="27" xfId="1" applyFont="1" applyFill="1" applyBorder="1" applyAlignment="1" applyProtection="1">
      <alignment horizontal="center" vertical="center" wrapText="1"/>
      <protection hidden="1"/>
    </xf>
    <xf numFmtId="44" fontId="36" fillId="0" borderId="27" xfId="1" applyFont="1" applyFill="1" applyBorder="1" applyAlignment="1" applyProtection="1">
      <alignment horizontal="center" vertical="center"/>
      <protection hidden="1"/>
    </xf>
    <xf numFmtId="0" fontId="36" fillId="3" borderId="0" xfId="8" applyFont="1" applyFill="1" applyBorder="1" applyAlignment="1" applyProtection="1">
      <alignment horizontal="center" vertical="center"/>
    </xf>
    <xf numFmtId="10" fontId="36" fillId="0" borderId="1" xfId="2" applyNumberFormat="1" applyFont="1" applyBorder="1" applyAlignment="1" applyProtection="1">
      <alignment horizontal="center" vertical="center" wrapText="1"/>
      <protection hidden="1"/>
    </xf>
    <xf numFmtId="0" fontId="36" fillId="3" borderId="0" xfId="8" applyFont="1" applyFill="1" applyBorder="1" applyAlignment="1" applyProtection="1">
      <alignment horizontal="right" vertical="center"/>
    </xf>
    <xf numFmtId="169" fontId="37" fillId="0" borderId="0" xfId="9" applyNumberFormat="1" applyFont="1" applyBorder="1" applyAlignment="1" applyProtection="1">
      <alignment horizontal="center" vertical="center"/>
    </xf>
    <xf numFmtId="169" fontId="37" fillId="0" borderId="7" xfId="9" applyNumberFormat="1" applyFont="1" applyBorder="1" applyAlignment="1" applyProtection="1">
      <alignment horizontal="center" vertical="center"/>
    </xf>
    <xf numFmtId="0" fontId="37" fillId="3" borderId="0" xfId="8" applyFont="1" applyFill="1" applyBorder="1" applyAlignment="1" applyProtection="1">
      <alignment horizontal="right" vertical="center"/>
    </xf>
    <xf numFmtId="0" fontId="0" fillId="0" borderId="0" xfId="0" applyBorder="1" applyAlignment="1" applyProtection="1">
      <alignment vertical="center"/>
    </xf>
    <xf numFmtId="0" fontId="36" fillId="0" borderId="0" xfId="8" applyNumberFormat="1" applyFont="1" applyBorder="1" applyAlignment="1" applyProtection="1">
      <alignment vertical="center" wrapText="1"/>
    </xf>
    <xf numFmtId="0" fontId="37" fillId="0" borderId="0" xfId="8" applyNumberFormat="1" applyFont="1" applyBorder="1" applyAlignment="1" applyProtection="1">
      <alignment vertical="center" wrapText="1"/>
    </xf>
    <xf numFmtId="0" fontId="37" fillId="3" borderId="0" xfId="8" applyFont="1" applyFill="1" applyBorder="1" applyAlignment="1" applyProtection="1">
      <alignment vertical="center"/>
    </xf>
    <xf numFmtId="14" fontId="36" fillId="3" borderId="0" xfId="8" applyNumberFormat="1" applyFont="1" applyFill="1" applyBorder="1" applyAlignment="1" applyProtection="1">
      <alignment horizontal="center" vertical="center"/>
    </xf>
    <xf numFmtId="0" fontId="12" fillId="0" borderId="32" xfId="8" applyBorder="1" applyAlignment="1" applyProtection="1">
      <alignment horizontal="left" vertical="center"/>
    </xf>
    <xf numFmtId="0" fontId="37" fillId="0" borderId="0" xfId="8" applyFont="1" applyBorder="1" applyAlignment="1" applyProtection="1">
      <alignment horizontal="center" vertical="center" wrapText="1"/>
    </xf>
    <xf numFmtId="0" fontId="50" fillId="0" borderId="7" xfId="8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52" fillId="0" borderId="0" xfId="8" applyFont="1" applyBorder="1" applyAlignment="1" applyProtection="1">
      <alignment horizontal="center" vertical="center"/>
    </xf>
    <xf numFmtId="0" fontId="0" fillId="0" borderId="6" xfId="0" applyBorder="1" applyAlignment="1" applyProtection="1">
      <alignment vertical="center"/>
    </xf>
    <xf numFmtId="0" fontId="10" fillId="0" borderId="0" xfId="0" applyFont="1" applyBorder="1" applyAlignment="1" applyProtection="1">
      <alignment horizontal="center" vertical="center"/>
    </xf>
    <xf numFmtId="0" fontId="0" fillId="0" borderId="7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4" fontId="37" fillId="3" borderId="0" xfId="8" applyNumberFormat="1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6" xfId="0" applyBorder="1" applyAlignment="1" applyProtection="1">
      <alignment horizontal="center" vertical="center"/>
    </xf>
    <xf numFmtId="0" fontId="0" fillId="3" borderId="6" xfId="0" applyFill="1" applyBorder="1" applyAlignment="1" applyProtection="1">
      <alignment vertical="center"/>
    </xf>
    <xf numFmtId="0" fontId="0" fillId="3" borderId="8" xfId="0" applyFill="1" applyBorder="1" applyAlignment="1" applyProtection="1">
      <alignment vertical="center"/>
    </xf>
    <xf numFmtId="44" fontId="3" fillId="2" borderId="10" xfId="1" applyFont="1" applyFill="1" applyBorder="1" applyAlignment="1">
      <alignment horizontal="center"/>
    </xf>
    <xf numFmtId="44" fontId="3" fillId="2" borderId="12" xfId="1" applyFont="1" applyFill="1" applyBorder="1" applyAlignment="1">
      <alignment horizontal="center"/>
    </xf>
    <xf numFmtId="167" fontId="26" fillId="0" borderId="0" xfId="5" applyNumberFormat="1" applyFont="1" applyBorder="1" applyAlignment="1" applyProtection="1">
      <alignment horizontal="left" vertical="top"/>
    </xf>
    <xf numFmtId="0" fontId="53" fillId="0" borderId="1" xfId="0" applyFont="1" applyBorder="1"/>
    <xf numFmtId="0" fontId="54" fillId="0" borderId="1" xfId="0" applyFont="1" applyBorder="1" applyAlignment="1">
      <alignment horizontal="right"/>
    </xf>
    <xf numFmtId="44" fontId="54" fillId="0" borderId="1" xfId="0" applyNumberFormat="1" applyFont="1" applyBorder="1"/>
    <xf numFmtId="0" fontId="7" fillId="0" borderId="1" xfId="0" applyFont="1" applyBorder="1"/>
    <xf numFmtId="44" fontId="8" fillId="0" borderId="1" xfId="0" applyNumberFormat="1" applyFont="1" applyBorder="1"/>
    <xf numFmtId="10" fontId="11" fillId="6" borderId="13" xfId="2" applyNumberFormat="1" applyFont="1" applyFill="1" applyBorder="1" applyAlignment="1">
      <alignment horizontal="center" vertical="top" wrapText="1"/>
    </xf>
    <xf numFmtId="9" fontId="11" fillId="2" borderId="11" xfId="2" applyFont="1" applyFill="1" applyBorder="1" applyAlignment="1" applyProtection="1">
      <alignment horizontal="center" vertical="top" wrapText="1"/>
    </xf>
    <xf numFmtId="167" fontId="26" fillId="0" borderId="0" xfId="1" applyNumberFormat="1" applyFont="1" applyBorder="1" applyAlignment="1" applyProtection="1">
      <alignment horizontal="left" vertical="top"/>
    </xf>
    <xf numFmtId="44" fontId="11" fillId="0" borderId="0" xfId="1" applyFont="1" applyBorder="1"/>
    <xf numFmtId="44" fontId="7" fillId="0" borderId="1" xfId="1" applyFont="1" applyFill="1" applyBorder="1"/>
    <xf numFmtId="0" fontId="7" fillId="0" borderId="1" xfId="0" applyFont="1" applyBorder="1" applyAlignment="1">
      <alignment horizontal="left"/>
    </xf>
    <xf numFmtId="0" fontId="7" fillId="0" borderId="1" xfId="3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44" fontId="12" fillId="0" borderId="0" xfId="8" applyNumberFormat="1" applyAlignment="1" applyProtection="1">
      <alignment vertical="center"/>
    </xf>
    <xf numFmtId="0" fontId="36" fillId="0" borderId="0" xfId="8" applyFont="1" applyBorder="1" applyAlignment="1" applyProtection="1">
      <alignment horizontal="center" vertical="center"/>
    </xf>
    <xf numFmtId="0" fontId="36" fillId="2" borderId="1" xfId="8" applyFont="1" applyFill="1" applyBorder="1" applyAlignment="1" applyProtection="1">
      <alignment horizontal="center" vertical="center"/>
    </xf>
    <xf numFmtId="0" fontId="12" fillId="0" borderId="0" xfId="8" applyBorder="1" applyAlignment="1" applyProtection="1">
      <alignment horizontal="left" vertical="center"/>
    </xf>
    <xf numFmtId="0" fontId="12" fillId="0" borderId="7" xfId="8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horizontal="center"/>
    </xf>
    <xf numFmtId="0" fontId="56" fillId="0" borderId="0" xfId="0" applyFont="1" applyBorder="1" applyAlignment="1">
      <alignment horizontal="center"/>
    </xf>
    <xf numFmtId="0" fontId="11" fillId="5" borderId="15" xfId="3" applyFill="1" applyBorder="1" applyAlignment="1">
      <alignment horizontal="left" vertical="top" wrapText="1"/>
    </xf>
    <xf numFmtId="0" fontId="55" fillId="0" borderId="1" xfId="0" applyFont="1" applyBorder="1" applyAlignment="1">
      <alignment vertical="center"/>
    </xf>
    <xf numFmtId="0" fontId="56" fillId="0" borderId="0" xfId="0" applyFont="1" applyFill="1" applyBorder="1" applyAlignment="1">
      <alignment horizontal="center" vertical="center"/>
    </xf>
    <xf numFmtId="0" fontId="11" fillId="5" borderId="1" xfId="3" applyFill="1" applyBorder="1" applyAlignment="1">
      <alignment horizontal="left" vertical="top" wrapText="1"/>
    </xf>
    <xf numFmtId="0" fontId="20" fillId="6" borderId="13" xfId="3" applyFont="1" applyFill="1" applyBorder="1" applyAlignment="1">
      <alignment horizontal="center" vertical="top" wrapText="1"/>
    </xf>
    <xf numFmtId="0" fontId="11" fillId="0" borderId="0" xfId="3" applyFont="1" applyBorder="1" applyAlignment="1">
      <alignment vertical="top" wrapText="1"/>
    </xf>
    <xf numFmtId="0" fontId="30" fillId="0" borderId="0" xfId="3" applyFont="1" applyBorder="1" applyAlignment="1">
      <alignment vertical="top" wrapText="1"/>
    </xf>
    <xf numFmtId="0" fontId="11" fillId="0" borderId="6" xfId="3" applyFont="1" applyBorder="1" applyAlignment="1">
      <alignment vertical="top" wrapText="1"/>
    </xf>
    <xf numFmtId="0" fontId="11" fillId="0" borderId="8" xfId="3" applyBorder="1"/>
    <xf numFmtId="0" fontId="11" fillId="0" borderId="2" xfId="3" applyBorder="1"/>
    <xf numFmtId="0" fontId="11" fillId="0" borderId="9" xfId="3" applyBorder="1"/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8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44" fontId="1" fillId="0" borderId="10" xfId="1" applyFont="1" applyFill="1" applyBorder="1" applyAlignment="1">
      <alignment horizontal="center" wrapText="1"/>
    </xf>
    <xf numFmtId="44" fontId="1" fillId="0" borderId="12" xfId="1" applyFont="1" applyFill="1" applyBorder="1" applyAlignment="1">
      <alignment horizontal="center" wrapText="1"/>
    </xf>
    <xf numFmtId="44" fontId="1" fillId="0" borderId="10" xfId="1" applyFont="1" applyBorder="1" applyAlignment="1">
      <alignment horizontal="center" wrapText="1"/>
    </xf>
    <xf numFmtId="44" fontId="1" fillId="0" borderId="12" xfId="1" applyFont="1" applyBorder="1" applyAlignment="1">
      <alignment horizontal="center" wrapText="1"/>
    </xf>
    <xf numFmtId="44" fontId="3" fillId="2" borderId="10" xfId="1" applyFont="1" applyFill="1" applyBorder="1" applyAlignment="1">
      <alignment horizontal="center" wrapText="1"/>
    </xf>
    <xf numFmtId="44" fontId="3" fillId="2" borderId="12" xfId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44" fontId="3" fillId="2" borderId="10" xfId="1" applyFont="1" applyFill="1" applyBorder="1" applyAlignment="1">
      <alignment horizontal="center"/>
    </xf>
    <xf numFmtId="44" fontId="3" fillId="2" borderId="12" xfId="1" applyFont="1" applyFill="1" applyBorder="1" applyAlignment="1">
      <alignment horizontal="center"/>
    </xf>
    <xf numFmtId="44" fontId="7" fillId="0" borderId="10" xfId="0" applyNumberFormat="1" applyFont="1" applyBorder="1" applyAlignment="1">
      <alignment horizontal="center" wrapText="1"/>
    </xf>
    <xf numFmtId="44" fontId="7" fillId="0" borderId="12" xfId="0" applyNumberFormat="1" applyFont="1" applyBorder="1" applyAlignment="1">
      <alignment horizontal="center" wrapText="1"/>
    </xf>
    <xf numFmtId="44" fontId="1" fillId="0" borderId="10" xfId="1" applyFont="1" applyFill="1" applyBorder="1" applyAlignment="1">
      <alignment horizontal="center"/>
    </xf>
    <xf numFmtId="44" fontId="1" fillId="0" borderId="12" xfId="1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4" fontId="1" fillId="2" borderId="10" xfId="1" applyFont="1" applyFill="1" applyBorder="1" applyAlignment="1">
      <alignment horizontal="center"/>
    </xf>
    <xf numFmtId="44" fontId="1" fillId="2" borderId="12" xfId="1" applyFont="1" applyFill="1" applyBorder="1" applyAlignment="1">
      <alignment horizontal="center"/>
    </xf>
    <xf numFmtId="44" fontId="1" fillId="0" borderId="10" xfId="1" applyFont="1" applyBorder="1" applyAlignment="1">
      <alignment horizontal="center"/>
    </xf>
    <xf numFmtId="44" fontId="1" fillId="0" borderId="12" xfId="1" applyFont="1" applyBorder="1" applyAlignment="1">
      <alignment horizontal="center"/>
    </xf>
    <xf numFmtId="44" fontId="7" fillId="0" borderId="10" xfId="1" applyFont="1" applyFill="1" applyBorder="1" applyAlignment="1">
      <alignment horizontal="center" wrapText="1"/>
    </xf>
    <xf numFmtId="44" fontId="7" fillId="0" borderId="12" xfId="1" applyFont="1" applyFill="1" applyBorder="1" applyAlignment="1">
      <alignment horizontal="center" wrapText="1"/>
    </xf>
    <xf numFmtId="44" fontId="32" fillId="0" borderId="10" xfId="0" applyNumberFormat="1" applyFont="1" applyBorder="1" applyAlignment="1">
      <alignment horizontal="center"/>
    </xf>
    <xf numFmtId="44" fontId="32" fillId="0" borderId="12" xfId="0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44" fontId="0" fillId="0" borderId="10" xfId="0" applyNumberFormat="1" applyBorder="1" applyAlignment="1">
      <alignment horizontal="center"/>
    </xf>
    <xf numFmtId="44" fontId="0" fillId="0" borderId="12" xfId="0" applyNumberFormat="1" applyBorder="1" applyAlignment="1">
      <alignment horizontal="center"/>
    </xf>
    <xf numFmtId="44" fontId="0" fillId="0" borderId="10" xfId="0" applyNumberFormat="1" applyBorder="1" applyAlignment="1">
      <alignment horizontal="center" wrapText="1"/>
    </xf>
    <xf numFmtId="44" fontId="0" fillId="0" borderId="12" xfId="0" applyNumberFormat="1" applyBorder="1" applyAlignment="1">
      <alignment horizontal="center" wrapText="1"/>
    </xf>
    <xf numFmtId="0" fontId="16" fillId="5" borderId="11" xfId="3" applyFont="1" applyFill="1" applyBorder="1" applyAlignment="1">
      <alignment horizontal="left" vertical="top" wrapText="1"/>
    </xf>
    <xf numFmtId="0" fontId="14" fillId="0" borderId="13" xfId="3" applyFont="1" applyBorder="1" applyAlignment="1">
      <alignment horizontal="center"/>
    </xf>
    <xf numFmtId="0" fontId="15" fillId="0" borderId="11" xfId="3" applyFont="1" applyBorder="1" applyAlignment="1">
      <alignment horizontal="center"/>
    </xf>
    <xf numFmtId="0" fontId="16" fillId="5" borderId="6" xfId="3" applyFont="1" applyFill="1" applyBorder="1" applyAlignment="1">
      <alignment horizontal="center" vertical="top" wrapText="1"/>
    </xf>
    <xf numFmtId="0" fontId="16" fillId="5" borderId="0" xfId="3" applyFont="1" applyFill="1" applyBorder="1" applyAlignment="1">
      <alignment horizontal="center" vertical="top" wrapText="1"/>
    </xf>
    <xf numFmtId="0" fontId="16" fillId="5" borderId="7" xfId="3" applyFont="1" applyFill="1" applyBorder="1" applyAlignment="1">
      <alignment horizontal="center" vertical="top" wrapText="1"/>
    </xf>
    <xf numFmtId="0" fontId="11" fillId="0" borderId="6" xfId="3" applyBorder="1" applyAlignment="1">
      <alignment horizontal="left" vertical="top" wrapText="1"/>
    </xf>
    <xf numFmtId="0" fontId="11" fillId="0" borderId="0" xfId="3" applyBorder="1" applyAlignment="1">
      <alignment horizontal="left" vertical="top" wrapText="1"/>
    </xf>
    <xf numFmtId="0" fontId="11" fillId="0" borderId="7" xfId="3" applyBorder="1" applyAlignment="1">
      <alignment horizontal="left" vertical="top" wrapText="1"/>
    </xf>
    <xf numFmtId="0" fontId="21" fillId="6" borderId="12" xfId="3" applyFont="1" applyFill="1" applyBorder="1" applyAlignment="1">
      <alignment horizontal="center" vertical="center" wrapText="1"/>
    </xf>
    <xf numFmtId="0" fontId="31" fillId="6" borderId="17" xfId="3" applyFont="1" applyFill="1" applyBorder="1" applyAlignment="1">
      <alignment horizontal="center" vertical="center" wrapText="1"/>
    </xf>
    <xf numFmtId="0" fontId="17" fillId="5" borderId="14" xfId="3" applyFont="1" applyFill="1" applyBorder="1" applyAlignment="1">
      <alignment horizontal="left" vertical="top" wrapText="1"/>
    </xf>
    <xf numFmtId="0" fontId="11" fillId="0" borderId="10" xfId="3" applyBorder="1" applyAlignment="1">
      <alignment horizontal="left" vertical="top" wrapText="1"/>
    </xf>
    <xf numFmtId="0" fontId="11" fillId="0" borderId="15" xfId="3" applyBorder="1" applyAlignment="1">
      <alignment horizontal="left" vertical="top" wrapText="1"/>
    </xf>
    <xf numFmtId="0" fontId="11" fillId="0" borderId="12" xfId="3" applyBorder="1" applyAlignment="1">
      <alignment horizontal="left" vertical="top" wrapText="1"/>
    </xf>
    <xf numFmtId="0" fontId="20" fillId="6" borderId="13" xfId="3" applyFont="1" applyFill="1" applyBorder="1" applyAlignment="1">
      <alignment horizontal="center" vertical="top" wrapText="1"/>
    </xf>
    <xf numFmtId="0" fontId="20" fillId="6" borderId="14" xfId="3" applyFont="1" applyFill="1" applyBorder="1" applyAlignment="1">
      <alignment horizontal="center" vertical="top" wrapText="1"/>
    </xf>
    <xf numFmtId="0" fontId="20" fillId="6" borderId="3" xfId="3" applyFont="1" applyFill="1" applyBorder="1" applyAlignment="1">
      <alignment horizontal="center" vertical="top" wrapText="1"/>
    </xf>
    <xf numFmtId="0" fontId="20" fillId="6" borderId="4" xfId="3" applyFont="1" applyFill="1" applyBorder="1" applyAlignment="1">
      <alignment horizontal="center" vertical="top" wrapText="1"/>
    </xf>
    <xf numFmtId="0" fontId="20" fillId="6" borderId="5" xfId="3" applyFont="1" applyFill="1" applyBorder="1" applyAlignment="1">
      <alignment horizontal="center" vertical="top" wrapText="1"/>
    </xf>
    <xf numFmtId="0" fontId="23" fillId="6" borderId="33" xfId="3" applyFont="1" applyFill="1" applyBorder="1" applyAlignment="1">
      <alignment horizontal="center" vertical="center" wrapText="1"/>
    </xf>
    <xf numFmtId="0" fontId="23" fillId="6" borderId="34" xfId="3" applyFont="1" applyFill="1" applyBorder="1" applyAlignment="1">
      <alignment horizontal="center" vertical="center" wrapText="1"/>
    </xf>
    <xf numFmtId="0" fontId="21" fillId="6" borderId="22" xfId="3" applyFont="1" applyFill="1" applyBorder="1" applyAlignment="1">
      <alignment horizontal="center" vertical="center" wrapText="1"/>
    </xf>
    <xf numFmtId="0" fontId="31" fillId="6" borderId="16" xfId="3" applyFont="1" applyFill="1" applyBorder="1" applyAlignment="1">
      <alignment horizontal="center" vertical="center" wrapText="1"/>
    </xf>
    <xf numFmtId="0" fontId="21" fillId="6" borderId="9" xfId="3" applyFont="1" applyFill="1" applyBorder="1" applyAlignment="1">
      <alignment horizontal="center" vertical="center" wrapText="1"/>
    </xf>
    <xf numFmtId="0" fontId="21" fillId="6" borderId="5" xfId="3" applyFont="1" applyFill="1" applyBorder="1" applyAlignment="1">
      <alignment horizontal="center" vertical="center" wrapText="1"/>
    </xf>
    <xf numFmtId="0" fontId="31" fillId="6" borderId="19" xfId="3" applyFont="1" applyFill="1" applyBorder="1" applyAlignment="1">
      <alignment horizontal="center" vertical="center" wrapText="1"/>
    </xf>
    <xf numFmtId="0" fontId="31" fillId="6" borderId="20" xfId="3" applyFont="1" applyFill="1" applyBorder="1" applyAlignment="1">
      <alignment horizontal="center" vertical="center" wrapText="1"/>
    </xf>
    <xf numFmtId="0" fontId="30" fillId="5" borderId="4" xfId="3" applyFont="1" applyFill="1" applyBorder="1" applyAlignment="1">
      <alignment horizontal="left" vertical="top" wrapText="1"/>
    </xf>
    <xf numFmtId="0" fontId="21" fillId="6" borderId="18" xfId="3" applyFont="1" applyFill="1" applyBorder="1" applyAlignment="1">
      <alignment horizontal="center" vertical="center" wrapText="1"/>
    </xf>
    <xf numFmtId="0" fontId="21" fillId="6" borderId="23" xfId="3" applyFont="1" applyFill="1" applyBorder="1" applyAlignment="1">
      <alignment horizontal="center" vertical="center" wrapText="1"/>
    </xf>
    <xf numFmtId="0" fontId="31" fillId="6" borderId="21" xfId="3" applyFont="1" applyFill="1" applyBorder="1" applyAlignment="1">
      <alignment horizontal="center" vertical="center" wrapText="1"/>
    </xf>
    <xf numFmtId="0" fontId="11" fillId="5" borderId="1" xfId="3" applyFill="1" applyBorder="1" applyAlignment="1">
      <alignment horizontal="left" vertical="top" wrapText="1"/>
    </xf>
    <xf numFmtId="0" fontId="23" fillId="6" borderId="35" xfId="3" applyFont="1" applyFill="1" applyBorder="1" applyAlignment="1">
      <alignment horizontal="center" vertical="center" wrapText="1"/>
    </xf>
    <xf numFmtId="0" fontId="30" fillId="0" borderId="4" xfId="3" applyFont="1" applyBorder="1" applyAlignment="1">
      <alignment horizontal="center"/>
    </xf>
    <xf numFmtId="0" fontId="30" fillId="0" borderId="0" xfId="3" applyFont="1" applyBorder="1" applyAlignment="1">
      <alignment horizontal="center"/>
    </xf>
    <xf numFmtId="0" fontId="30" fillId="0" borderId="0" xfId="3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3" fontId="37" fillId="0" borderId="28" xfId="12" applyFont="1" applyBorder="1" applyAlignment="1" applyProtection="1">
      <alignment horizontal="center" vertical="center"/>
      <protection locked="0"/>
    </xf>
    <xf numFmtId="43" fontId="37" fillId="0" borderId="29" xfId="12" applyFont="1" applyBorder="1" applyAlignment="1" applyProtection="1">
      <alignment horizontal="center" vertical="center"/>
      <protection locked="0"/>
    </xf>
    <xf numFmtId="43" fontId="37" fillId="0" borderId="30" xfId="12" applyFont="1" applyBorder="1" applyAlignment="1" applyProtection="1">
      <alignment horizontal="center" vertical="center"/>
      <protection locked="0"/>
    </xf>
    <xf numFmtId="10" fontId="37" fillId="0" borderId="26" xfId="2" applyNumberFormat="1" applyFont="1" applyFill="1" applyBorder="1" applyAlignment="1" applyProtection="1">
      <alignment horizontal="center" vertical="center" wrapText="1"/>
      <protection hidden="1"/>
    </xf>
    <xf numFmtId="10" fontId="37" fillId="0" borderId="24" xfId="2" applyNumberFormat="1" applyFont="1" applyFill="1" applyBorder="1" applyAlignment="1" applyProtection="1">
      <alignment horizontal="center" vertical="center" wrapText="1"/>
      <protection hidden="1"/>
    </xf>
    <xf numFmtId="10" fontId="37" fillId="0" borderId="26" xfId="2" applyNumberFormat="1" applyFont="1" applyBorder="1" applyAlignment="1" applyProtection="1">
      <alignment horizontal="center" vertical="center" wrapText="1"/>
      <protection hidden="1"/>
    </xf>
    <xf numFmtId="10" fontId="37" fillId="0" borderId="24" xfId="2" applyNumberFormat="1" applyFont="1" applyBorder="1" applyAlignment="1" applyProtection="1">
      <alignment horizontal="center" vertical="center" wrapText="1"/>
      <protection hidden="1"/>
    </xf>
    <xf numFmtId="44" fontId="37" fillId="0" borderId="28" xfId="12" applyNumberFormat="1" applyFont="1" applyBorder="1" applyAlignment="1" applyProtection="1">
      <alignment horizontal="center" vertical="center"/>
      <protection locked="0"/>
    </xf>
    <xf numFmtId="44" fontId="37" fillId="0" borderId="29" xfId="12" applyNumberFormat="1" applyFont="1" applyBorder="1" applyAlignment="1" applyProtection="1">
      <alignment horizontal="center" vertical="center"/>
      <protection locked="0"/>
    </xf>
    <xf numFmtId="44" fontId="37" fillId="0" borderId="30" xfId="12" applyNumberFormat="1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46" fillId="0" borderId="3" xfId="8" applyFont="1" applyBorder="1" applyAlignment="1" applyProtection="1">
      <alignment horizontal="center" vertical="center" wrapText="1"/>
      <protection locked="0"/>
    </xf>
    <xf numFmtId="0" fontId="46" fillId="0" borderId="5" xfId="8" applyFont="1" applyBorder="1" applyAlignment="1" applyProtection="1">
      <alignment horizontal="center" vertical="center" wrapText="1"/>
      <protection locked="0"/>
    </xf>
    <xf numFmtId="0" fontId="46" fillId="0" borderId="8" xfId="8" applyFont="1" applyBorder="1" applyAlignment="1" applyProtection="1">
      <alignment horizontal="center" vertical="center" wrapText="1"/>
      <protection locked="0"/>
    </xf>
    <xf numFmtId="0" fontId="46" fillId="0" borderId="9" xfId="8" applyFont="1" applyBorder="1" applyAlignment="1" applyProtection="1">
      <alignment horizontal="center" vertical="center" wrapText="1"/>
      <protection locked="0"/>
    </xf>
    <xf numFmtId="0" fontId="36" fillId="0" borderId="1" xfId="8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36" fillId="2" borderId="1" xfId="8" applyFont="1" applyFill="1" applyBorder="1" applyAlignment="1" applyProtection="1">
      <alignment horizontal="left" vertical="center" wrapText="1"/>
    </xf>
    <xf numFmtId="10" fontId="37" fillId="0" borderId="10" xfId="2" applyNumberFormat="1" applyFont="1" applyBorder="1" applyAlignment="1" applyProtection="1">
      <alignment horizontal="center" vertical="center" wrapText="1"/>
      <protection hidden="1"/>
    </xf>
    <xf numFmtId="10" fontId="37" fillId="0" borderId="15" xfId="2" applyNumberFormat="1" applyFont="1" applyBorder="1" applyAlignment="1" applyProtection="1">
      <alignment horizontal="center" vertical="center" wrapText="1"/>
      <protection hidden="1"/>
    </xf>
    <xf numFmtId="10" fontId="48" fillId="0" borderId="10" xfId="2" applyNumberFormat="1" applyFont="1" applyBorder="1" applyAlignment="1" applyProtection="1">
      <alignment horizontal="center" vertical="center" wrapText="1"/>
      <protection hidden="1"/>
    </xf>
    <xf numFmtId="10" fontId="48" fillId="0" borderId="15" xfId="2" applyNumberFormat="1" applyFont="1" applyBorder="1" applyAlignment="1" applyProtection="1">
      <alignment horizontal="center" vertical="center" wrapText="1"/>
      <protection hidden="1"/>
    </xf>
    <xf numFmtId="10" fontId="48" fillId="0" borderId="12" xfId="2" applyNumberFormat="1" applyFont="1" applyBorder="1" applyAlignment="1" applyProtection="1">
      <alignment horizontal="center" vertical="center" wrapText="1"/>
      <protection hidden="1"/>
    </xf>
    <xf numFmtId="0" fontId="49" fillId="0" borderId="0" xfId="8" applyFont="1" applyBorder="1" applyAlignment="1" applyProtection="1">
      <alignment horizontal="left" vertical="center" wrapText="1"/>
    </xf>
    <xf numFmtId="0" fontId="12" fillId="0" borderId="0" xfId="8" applyBorder="1" applyAlignment="1" applyProtection="1">
      <alignment horizontal="left" vertical="center"/>
    </xf>
    <xf numFmtId="0" fontId="12" fillId="0" borderId="7" xfId="8" applyBorder="1" applyAlignment="1" applyProtection="1">
      <alignment horizontal="left" vertical="center"/>
    </xf>
    <xf numFmtId="0" fontId="6" fillId="0" borderId="0" xfId="8" applyFont="1" applyBorder="1" applyAlignment="1" applyProtection="1">
      <alignment horizontal="left" vertical="center" wrapText="1"/>
      <protection locked="0"/>
    </xf>
    <xf numFmtId="0" fontId="51" fillId="0" borderId="0" xfId="8" applyFont="1" applyBorder="1" applyAlignment="1" applyProtection="1">
      <alignment horizontal="center" vertical="center"/>
      <protection locked="0"/>
    </xf>
    <xf numFmtId="0" fontId="36" fillId="2" borderId="1" xfId="8" applyFont="1" applyFill="1" applyBorder="1" applyAlignment="1" applyProtection="1">
      <alignment horizontal="left" vertical="center"/>
    </xf>
    <xf numFmtId="43" fontId="37" fillId="0" borderId="28" xfId="12" applyFont="1" applyBorder="1" applyAlignment="1" applyProtection="1">
      <alignment horizontal="center" vertical="center" wrapText="1"/>
      <protection locked="0"/>
    </xf>
    <xf numFmtId="43" fontId="37" fillId="0" borderId="29" xfId="12" applyFont="1" applyBorder="1" applyAlignment="1" applyProtection="1">
      <alignment horizontal="center" vertical="center" wrapText="1"/>
      <protection locked="0"/>
    </xf>
    <xf numFmtId="44" fontId="37" fillId="0" borderId="10" xfId="1" applyFont="1" applyBorder="1" applyAlignment="1" applyProtection="1">
      <alignment horizontal="center" vertical="center" wrapText="1"/>
      <protection locked="0"/>
    </xf>
    <xf numFmtId="44" fontId="37" fillId="0" borderId="15" xfId="1" applyFont="1" applyBorder="1" applyAlignment="1" applyProtection="1">
      <alignment horizontal="center" vertical="center" wrapText="1"/>
      <protection locked="0"/>
    </xf>
    <xf numFmtId="44" fontId="37" fillId="0" borderId="12" xfId="1" applyFont="1" applyBorder="1" applyAlignment="1" applyProtection="1">
      <alignment horizontal="center" vertical="center" wrapText="1"/>
      <protection locked="0"/>
    </xf>
    <xf numFmtId="44" fontId="37" fillId="0" borderId="10" xfId="1" applyFont="1" applyBorder="1" applyAlignment="1" applyProtection="1">
      <alignment horizontal="center" vertical="center"/>
      <protection hidden="1"/>
    </xf>
    <xf numFmtId="44" fontId="37" fillId="0" borderId="15" xfId="1" applyFont="1" applyBorder="1" applyAlignment="1" applyProtection="1">
      <alignment horizontal="center" vertical="center"/>
      <protection hidden="1"/>
    </xf>
    <xf numFmtId="44" fontId="37" fillId="0" borderId="12" xfId="1" applyFont="1" applyBorder="1" applyAlignment="1" applyProtection="1">
      <alignment horizontal="center" vertical="center"/>
      <protection hidden="1"/>
    </xf>
    <xf numFmtId="4" fontId="36" fillId="1" borderId="1" xfId="8" applyNumberFormat="1" applyFont="1" applyFill="1" applyBorder="1" applyAlignment="1" applyProtection="1">
      <alignment horizontal="center" vertical="center"/>
    </xf>
    <xf numFmtId="4" fontId="36" fillId="1" borderId="10" xfId="8" applyNumberFormat="1" applyFont="1" applyFill="1" applyBorder="1" applyAlignment="1" applyProtection="1">
      <alignment horizontal="center" vertical="center"/>
    </xf>
    <xf numFmtId="4" fontId="36" fillId="1" borderId="15" xfId="8" applyNumberFormat="1" applyFont="1" applyFill="1" applyBorder="1" applyAlignment="1" applyProtection="1">
      <alignment horizontal="center" vertical="center"/>
    </xf>
    <xf numFmtId="4" fontId="36" fillId="1" borderId="12" xfId="8" applyNumberFormat="1" applyFont="1" applyFill="1" applyBorder="1" applyAlignment="1" applyProtection="1">
      <alignment horizontal="center" vertical="center"/>
    </xf>
    <xf numFmtId="0" fontId="47" fillId="0" borderId="5" xfId="0" applyFont="1" applyBorder="1" applyAlignment="1">
      <alignment horizontal="center"/>
    </xf>
    <xf numFmtId="0" fontId="47" fillId="0" borderId="8" xfId="0" applyFont="1" applyBorder="1" applyAlignment="1">
      <alignment horizontal="center"/>
    </xf>
    <xf numFmtId="0" fontId="47" fillId="0" borderId="9" xfId="0" applyFont="1" applyBorder="1" applyAlignment="1">
      <alignment horizontal="center"/>
    </xf>
    <xf numFmtId="0" fontId="36" fillId="0" borderId="15" xfId="6" applyFont="1" applyBorder="1" applyAlignment="1" applyProtection="1">
      <alignment horizontal="left" vertical="center" wrapText="1"/>
    </xf>
    <xf numFmtId="0" fontId="36" fillId="0" borderId="12" xfId="6" applyFont="1" applyBorder="1" applyAlignment="1" applyProtection="1">
      <alignment horizontal="left" vertical="center" wrapText="1"/>
    </xf>
    <xf numFmtId="0" fontId="40" fillId="0" borderId="6" xfId="6" applyFont="1" applyBorder="1" applyAlignment="1" applyProtection="1">
      <alignment horizontal="left" vertical="center" wrapText="1" indent="1"/>
    </xf>
    <xf numFmtId="0" fontId="40" fillId="0" borderId="0" xfId="6" applyFont="1" applyBorder="1" applyAlignment="1" applyProtection="1">
      <alignment horizontal="left" vertical="center" wrapText="1" indent="1"/>
    </xf>
    <xf numFmtId="0" fontId="40" fillId="0" borderId="8" xfId="6" applyFont="1" applyBorder="1" applyAlignment="1" applyProtection="1">
      <alignment horizontal="left" vertical="center" wrapText="1" indent="1"/>
    </xf>
    <xf numFmtId="0" fontId="40" fillId="0" borderId="2" xfId="6" applyFont="1" applyBorder="1" applyAlignment="1" applyProtection="1">
      <alignment horizontal="left" vertical="center" wrapText="1" indent="1"/>
    </xf>
    <xf numFmtId="0" fontId="36" fillId="0" borderId="1" xfId="8" applyFont="1" applyBorder="1" applyAlignment="1" applyProtection="1">
      <alignment horizontal="center" vertical="center" wrapText="1"/>
    </xf>
    <xf numFmtId="0" fontId="36" fillId="0" borderId="10" xfId="8" applyFont="1" applyBorder="1" applyAlignment="1" applyProtection="1">
      <alignment horizontal="center" vertical="center" wrapText="1"/>
    </xf>
    <xf numFmtId="0" fontId="37" fillId="0" borderId="15" xfId="8" applyFont="1" applyBorder="1" applyAlignment="1" applyProtection="1">
      <alignment horizontal="left" vertical="center" wrapText="1"/>
      <protection hidden="1"/>
    </xf>
    <xf numFmtId="0" fontId="37" fillId="0" borderId="12" xfId="8" applyFont="1" applyBorder="1" applyAlignment="1" applyProtection="1">
      <alignment horizontal="left" vertical="center" wrapText="1"/>
      <protection hidden="1"/>
    </xf>
    <xf numFmtId="0" fontId="33" fillId="0" borderId="4" xfId="8" applyFont="1" applyBorder="1" applyAlignment="1" applyProtection="1">
      <alignment horizontal="center" vertical="center" wrapText="1"/>
      <protection locked="0"/>
    </xf>
    <xf numFmtId="0" fontId="33" fillId="0" borderId="0" xfId="8" applyFont="1" applyBorder="1" applyAlignment="1" applyProtection="1">
      <alignment horizontal="center" vertical="center" wrapText="1"/>
      <protection locked="0"/>
    </xf>
    <xf numFmtId="0" fontId="34" fillId="0" borderId="4" xfId="8" applyFont="1" applyBorder="1" applyAlignment="1" applyProtection="1">
      <alignment horizontal="center" vertical="center"/>
    </xf>
    <xf numFmtId="0" fontId="34" fillId="0" borderId="5" xfId="8" applyFont="1" applyBorder="1" applyAlignment="1" applyProtection="1">
      <alignment horizontal="center" vertical="center"/>
    </xf>
    <xf numFmtId="0" fontId="34" fillId="0" borderId="0" xfId="8" applyFont="1" applyBorder="1" applyAlignment="1" applyProtection="1">
      <alignment horizontal="center" vertical="center"/>
    </xf>
    <xf numFmtId="0" fontId="34" fillId="0" borderId="7" xfId="8" applyFont="1" applyBorder="1" applyAlignment="1" applyProtection="1">
      <alignment horizontal="center" vertical="center"/>
    </xf>
    <xf numFmtId="0" fontId="36" fillId="0" borderId="0" xfId="8" applyFont="1" applyBorder="1" applyAlignment="1" applyProtection="1">
      <alignment horizontal="center" vertical="center"/>
    </xf>
    <xf numFmtId="0" fontId="36" fillId="0" borderId="7" xfId="8" applyFont="1" applyBorder="1" applyAlignment="1" applyProtection="1">
      <alignment horizontal="center" vertical="center"/>
    </xf>
    <xf numFmtId="49" fontId="38" fillId="0" borderId="1" xfId="8" applyNumberFormat="1" applyFont="1" applyBorder="1" applyAlignment="1" applyProtection="1">
      <alignment horizontal="left" vertical="center" wrapText="1" indent="1"/>
      <protection locked="0"/>
    </xf>
    <xf numFmtId="0" fontId="36" fillId="2" borderId="1" xfId="8" applyFont="1" applyFill="1" applyBorder="1" applyAlignment="1" applyProtection="1">
      <alignment horizontal="center" vertical="center" wrapText="1"/>
    </xf>
    <xf numFmtId="0" fontId="36" fillId="2" borderId="1" xfId="8" applyFont="1" applyFill="1" applyBorder="1" applyAlignment="1" applyProtection="1">
      <alignment horizontal="center" vertical="center" textRotation="90"/>
    </xf>
    <xf numFmtId="0" fontId="36" fillId="2" borderId="3" xfId="8" applyFont="1" applyFill="1" applyBorder="1" applyAlignment="1" applyProtection="1">
      <alignment horizontal="center" vertical="center"/>
    </xf>
    <xf numFmtId="0" fontId="36" fillId="2" borderId="5" xfId="8" applyFont="1" applyFill="1" applyBorder="1" applyAlignment="1" applyProtection="1">
      <alignment horizontal="center" vertical="center"/>
    </xf>
    <xf numFmtId="0" fontId="36" fillId="2" borderId="6" xfId="8" applyFont="1" applyFill="1" applyBorder="1" applyAlignment="1" applyProtection="1">
      <alignment horizontal="center" vertical="center"/>
    </xf>
    <xf numFmtId="0" fontId="36" fillId="2" borderId="7" xfId="8" applyFont="1" applyFill="1" applyBorder="1" applyAlignment="1" applyProtection="1">
      <alignment horizontal="center" vertical="center"/>
    </xf>
    <xf numFmtId="0" fontId="36" fillId="2" borderId="13" xfId="8" applyFont="1" applyFill="1" applyBorder="1" applyAlignment="1" applyProtection="1">
      <alignment horizontal="center" vertical="center" textRotation="90"/>
    </xf>
    <xf numFmtId="0" fontId="36" fillId="2" borderId="11" xfId="8" applyFont="1" applyFill="1" applyBorder="1" applyAlignment="1" applyProtection="1">
      <alignment horizontal="center" vertical="center" textRotation="90"/>
    </xf>
    <xf numFmtId="0" fontId="36" fillId="2" borderId="1" xfId="8" applyFont="1" applyFill="1" applyBorder="1" applyAlignment="1" applyProtection="1">
      <alignment horizontal="center" vertical="center"/>
    </xf>
    <xf numFmtId="0" fontId="36" fillId="2" borderId="15" xfId="8" applyFont="1" applyFill="1" applyBorder="1" applyAlignment="1" applyProtection="1">
      <alignment horizontal="center" vertical="center"/>
    </xf>
    <xf numFmtId="0" fontId="36" fillId="2" borderId="12" xfId="8" applyFont="1" applyFill="1" applyBorder="1" applyAlignment="1" applyProtection="1">
      <alignment horizontal="center" vertical="center"/>
    </xf>
    <xf numFmtId="4" fontId="36" fillId="2" borderId="13" xfId="8" applyNumberFormat="1" applyFont="1" applyFill="1" applyBorder="1" applyAlignment="1" applyProtection="1">
      <alignment horizontal="center" vertical="center"/>
    </xf>
    <xf numFmtId="4" fontId="36" fillId="2" borderId="11" xfId="8" applyNumberFormat="1" applyFont="1" applyFill="1" applyBorder="1" applyAlignment="1" applyProtection="1">
      <alignment horizontal="center" vertical="center"/>
    </xf>
    <xf numFmtId="0" fontId="44" fillId="0" borderId="15" xfId="8" applyFont="1" applyBorder="1" applyAlignment="1" applyProtection="1">
      <alignment horizontal="center" vertical="center" wrapText="1"/>
    </xf>
    <xf numFmtId="0" fontId="44" fillId="0" borderId="12" xfId="8" applyFont="1" applyBorder="1" applyAlignment="1" applyProtection="1">
      <alignment horizontal="center" vertical="center" wrapText="1"/>
    </xf>
    <xf numFmtId="0" fontId="36" fillId="0" borderId="10" xfId="6" applyFont="1" applyBorder="1" applyAlignment="1" applyProtection="1">
      <alignment horizontal="right" vertical="center" wrapText="1"/>
    </xf>
    <xf numFmtId="0" fontId="36" fillId="0" borderId="15" xfId="6" applyFont="1" applyBorder="1" applyAlignment="1" applyProtection="1">
      <alignment horizontal="right" vertical="center" wrapText="1"/>
    </xf>
    <xf numFmtId="49" fontId="28" fillId="0" borderId="1" xfId="8" applyNumberFormat="1" applyFont="1" applyBorder="1" applyAlignment="1" applyProtection="1">
      <alignment horizontal="left" vertical="center" wrapText="1" indent="1"/>
      <protection locked="0"/>
    </xf>
    <xf numFmtId="49" fontId="17" fillId="0" borderId="1" xfId="8" applyNumberFormat="1" applyFont="1" applyBorder="1" applyAlignment="1" applyProtection="1">
      <alignment horizontal="left" vertical="center" wrapText="1" indent="1"/>
      <protection locked="0"/>
    </xf>
    <xf numFmtId="0" fontId="38" fillId="0" borderId="1" xfId="8" applyFont="1" applyBorder="1" applyAlignment="1" applyProtection="1">
      <alignment horizontal="center" vertical="center" wrapText="1"/>
      <protection locked="0"/>
    </xf>
    <xf numFmtId="49" fontId="37" fillId="0" borderId="1" xfId="8" applyNumberFormat="1" applyFont="1" applyBorder="1" applyAlignment="1" applyProtection="1">
      <alignment horizontal="left" vertical="center" wrapText="1" indent="1"/>
      <protection locked="0"/>
    </xf>
    <xf numFmtId="0" fontId="42" fillId="2" borderId="1" xfId="8" applyFont="1" applyFill="1" applyBorder="1" applyAlignment="1" applyProtection="1">
      <alignment horizontal="center" vertical="center" textRotation="90" wrapText="1"/>
    </xf>
    <xf numFmtId="0" fontId="37" fillId="0" borderId="2" xfId="8" applyFont="1" applyBorder="1" applyAlignment="1" applyProtection="1">
      <alignment horizontal="left" vertical="center" wrapText="1"/>
    </xf>
    <xf numFmtId="0" fontId="37" fillId="0" borderId="15" xfId="8" applyFont="1" applyBorder="1" applyAlignment="1" applyProtection="1">
      <alignment horizontal="left" vertical="center" wrapText="1"/>
    </xf>
    <xf numFmtId="0" fontId="37" fillId="0" borderId="12" xfId="8" applyFont="1" applyBorder="1" applyAlignment="1" applyProtection="1">
      <alignment horizontal="left" vertical="center" wrapText="1"/>
    </xf>
  </cellXfs>
  <cellStyles count="13">
    <cellStyle name="Excel Built-in Explanatory Text" xfId="4"/>
    <cellStyle name="Moeda" xfId="1" builtinId="4"/>
    <cellStyle name="Moeda 2" xfId="7"/>
    <cellStyle name="Moeda 2 2" xfId="9"/>
    <cellStyle name="Moeda 2 2 2" xfId="11"/>
    <cellStyle name="Normal" xfId="0" builtinId="0"/>
    <cellStyle name="Normal 2" xfId="3"/>
    <cellStyle name="Normal 2 2" xfId="8"/>
    <cellStyle name="Normal 2 2 2" xfId="10"/>
    <cellStyle name="Normal 3" xfId="6"/>
    <cellStyle name="Porcentagem" xfId="2" builtinId="5"/>
    <cellStyle name="Porcentagem 2" xfId="5"/>
    <cellStyle name="Separador de milhares" xfId="12" builtinId="3"/>
  </cellStyles>
  <dxfs count="1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b/>
        <i val="0"/>
        <color rgb="FF7030A0"/>
      </font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3030711</xdr:colOff>
      <xdr:row>0</xdr:row>
      <xdr:rowOff>82602</xdr:rowOff>
    </xdr:from>
    <xdr:to>
      <xdr:col>3</xdr:col>
      <xdr:colOff>3712029</xdr:colOff>
      <xdr:row>5</xdr:row>
      <xdr:rowOff>163285</xdr:rowOff>
    </xdr:to>
    <xdr:pic>
      <xdr:nvPicPr>
        <xdr:cNvPr id="3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382025" y="82602"/>
          <a:ext cx="681318" cy="106039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3030711</xdr:colOff>
      <xdr:row>0</xdr:row>
      <xdr:rowOff>82602</xdr:rowOff>
    </xdr:from>
    <xdr:to>
      <xdr:col>3</xdr:col>
      <xdr:colOff>3712029</xdr:colOff>
      <xdr:row>5</xdr:row>
      <xdr:rowOff>163285</xdr:rowOff>
    </xdr:to>
    <xdr:pic>
      <xdr:nvPicPr>
        <xdr:cNvPr id="2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307186" y="82602"/>
          <a:ext cx="681318" cy="103318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186893</xdr:colOff>
      <xdr:row>0</xdr:row>
      <xdr:rowOff>49386</xdr:rowOff>
    </xdr:from>
    <xdr:to>
      <xdr:col>8</xdr:col>
      <xdr:colOff>795968</xdr:colOff>
      <xdr:row>5</xdr:row>
      <xdr:rowOff>107256</xdr:rowOff>
    </xdr:to>
    <xdr:pic>
      <xdr:nvPicPr>
        <xdr:cNvPr id="2" name="Figura1">
          <a:extLst>
            <a:ext uri="{FF2B5EF4-FFF2-40B4-BE49-F238E27FC236}">
              <a16:creationId xmlns:a16="http://schemas.microsoft.com/office/drawing/2014/main" xmlns="" id="{00000000-0008-0000-0400-00000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911073" y="49386"/>
          <a:ext cx="609075" cy="876425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76</xdr:row>
      <xdr:rowOff>19050</xdr:rowOff>
    </xdr:from>
    <xdr:to>
      <xdr:col>14</xdr:col>
      <xdr:colOff>1936750</xdr:colOff>
      <xdr:row>84</xdr:row>
      <xdr:rowOff>219074</xdr:rowOff>
    </xdr:to>
    <xdr:sp macro="" textlink="">
      <xdr:nvSpPr>
        <xdr:cNvPr id="2" name="CaixaDeTexto 1"/>
        <xdr:cNvSpPr txBox="1"/>
      </xdr:nvSpPr>
      <xdr:spPr>
        <a:xfrm>
          <a:off x="0" y="9067800"/>
          <a:ext cx="12900025" cy="1866899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/>
            <a:t>OBSERVAÇÃO CONFORME: </a:t>
          </a:r>
        </a:p>
        <a:p>
          <a:endParaRPr lang="pt-BR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Decreto n.º 66.173 de 27/10/2021 _ "a liberação dos recursos, considerando o valor total destes, observará o seguinte:</a:t>
          </a: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até R$ 500.000,00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(quinhentos mil reais), em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parcela única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;</a:t>
          </a: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entre R$ 500.000,00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(quinhentos mil reais)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R$1.000.000,00 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(um milhão de reais),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2 (duas) parcelas </a:t>
          </a:r>
          <a:r>
            <a:rPr lang="pt-BR" sz="1100" b="1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igualmente divididas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;</a:t>
          </a: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entre R$ 1.000.000,00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(hum milhão de reais)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 R$ 5.000.000,00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(cinco milhões de reais),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3 (três) parcelas, </a:t>
          </a:r>
          <a:r>
            <a:rPr lang="pt-BR" sz="1100" b="1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sendo a primeira de 30% (trinta por cento)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;</a:t>
          </a:r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acima de R$ 5.000.000,00 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(cinco milhões de reais),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parcelas sucessivas, conforme estipular o respectivo instrumento, </a:t>
          </a:r>
          <a:r>
            <a:rPr lang="pt-BR" sz="1100" b="1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sendo a primeira de 30% (trinta por cento)</a:t>
          </a:r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/>
            <a:t/>
          </a:r>
          <a:br>
            <a:rPr lang="pt-BR"/>
          </a:b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226969</xdr:colOff>
      <xdr:row>0</xdr:row>
      <xdr:rowOff>128716</xdr:rowOff>
    </xdr:from>
    <xdr:to>
      <xdr:col>2</xdr:col>
      <xdr:colOff>413569</xdr:colOff>
      <xdr:row>4</xdr:row>
      <xdr:rowOff>118071</xdr:rowOff>
    </xdr:to>
    <xdr:pic>
      <xdr:nvPicPr>
        <xdr:cNvPr id="3" name="Figura1">
          <a:extLst>
            <a:ext uri="{FF2B5EF4-FFF2-40B4-BE49-F238E27FC236}">
              <a16:creationId xmlns:a16="http://schemas.microsoft.com/office/drawing/2014/main" xmlns="" id="{00000000-0008-0000-0500-00000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831935" y="128716"/>
          <a:ext cx="841375" cy="1109186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76"/>
  <sheetViews>
    <sheetView tabSelected="1" view="pageBreakPreview" topLeftCell="A220" zoomScale="70" zoomScaleNormal="120" zoomScaleSheetLayoutView="70" workbookViewId="0">
      <selection activeCell="F278" sqref="F278"/>
    </sheetView>
  </sheetViews>
  <sheetFormatPr defaultRowHeight="15"/>
  <cols>
    <col min="1" max="1" width="9.42578125" bestFit="1" customWidth="1"/>
    <col min="2" max="3" width="13.28515625" customWidth="1"/>
    <col min="4" max="4" width="79.28515625" customWidth="1"/>
    <col min="6" max="6" width="11" customWidth="1"/>
    <col min="7" max="7" width="16.5703125" bestFit="1" customWidth="1"/>
    <col min="8" max="8" width="23.28515625" bestFit="1" customWidth="1"/>
    <col min="9" max="9" width="23.7109375" bestFit="1" customWidth="1"/>
    <col min="10" max="10" width="14.42578125" bestFit="1" customWidth="1"/>
    <col min="11" max="11" width="13.42578125" bestFit="1" customWidth="1"/>
    <col min="12" max="12" width="17.85546875" customWidth="1"/>
    <col min="13" max="13" width="16" bestFit="1" customWidth="1"/>
  </cols>
  <sheetData>
    <row r="1" spans="1:10" ht="15" customHeight="1">
      <c r="A1" s="278" t="s">
        <v>55</v>
      </c>
      <c r="B1" s="279"/>
      <c r="C1" s="279"/>
      <c r="D1" s="279"/>
      <c r="E1" s="279"/>
      <c r="F1" s="279"/>
      <c r="G1" s="279"/>
      <c r="H1" s="280"/>
    </row>
    <row r="2" spans="1:10" ht="15" customHeight="1">
      <c r="A2" s="281"/>
      <c r="B2" s="282"/>
      <c r="C2" s="282"/>
      <c r="D2" s="282"/>
      <c r="E2" s="282"/>
      <c r="F2" s="282"/>
      <c r="G2" s="282"/>
      <c r="H2" s="283"/>
    </row>
    <row r="3" spans="1:10" ht="15" customHeight="1">
      <c r="A3" s="281"/>
      <c r="B3" s="282"/>
      <c r="C3" s="282"/>
      <c r="D3" s="282"/>
      <c r="E3" s="282"/>
      <c r="F3" s="282"/>
      <c r="G3" s="282"/>
      <c r="H3" s="283"/>
    </row>
    <row r="4" spans="1:10" ht="15" customHeight="1">
      <c r="A4" s="281"/>
      <c r="B4" s="282"/>
      <c r="C4" s="282"/>
      <c r="D4" s="282"/>
      <c r="E4" s="282"/>
      <c r="F4" s="282"/>
      <c r="G4" s="282"/>
      <c r="H4" s="283"/>
    </row>
    <row r="5" spans="1:10" ht="15" customHeight="1">
      <c r="A5" s="281"/>
      <c r="B5" s="282"/>
      <c r="C5" s="282"/>
      <c r="D5" s="282"/>
      <c r="E5" s="282"/>
      <c r="F5" s="282"/>
      <c r="G5" s="282"/>
      <c r="H5" s="283"/>
    </row>
    <row r="6" spans="1:10" ht="15" customHeight="1">
      <c r="A6" s="281"/>
      <c r="B6" s="282"/>
      <c r="C6" s="282"/>
      <c r="D6" s="282"/>
      <c r="E6" s="282"/>
      <c r="F6" s="282"/>
      <c r="G6" s="282"/>
      <c r="H6" s="283"/>
    </row>
    <row r="7" spans="1:10" ht="15" customHeight="1">
      <c r="A7" s="281"/>
      <c r="B7" s="282"/>
      <c r="C7" s="282"/>
      <c r="D7" s="282"/>
      <c r="E7" s="282"/>
      <c r="F7" s="282"/>
      <c r="G7" s="282"/>
      <c r="H7" s="283"/>
    </row>
    <row r="8" spans="1:10" ht="15" customHeight="1">
      <c r="A8" s="287" t="s">
        <v>54</v>
      </c>
      <c r="B8" s="288"/>
      <c r="C8" s="288"/>
      <c r="D8" s="288"/>
      <c r="E8" s="288"/>
      <c r="F8" s="288"/>
      <c r="G8" s="288"/>
      <c r="H8" s="289"/>
    </row>
    <row r="9" spans="1:10" ht="15" customHeight="1">
      <c r="A9" s="70"/>
      <c r="B9" s="71"/>
      <c r="C9" s="71"/>
      <c r="D9" s="71"/>
      <c r="E9" s="71"/>
      <c r="F9" s="71"/>
      <c r="G9" s="71"/>
      <c r="H9" s="72"/>
    </row>
    <row r="10" spans="1:10" ht="15" customHeight="1">
      <c r="A10" s="284" t="s">
        <v>7</v>
      </c>
      <c r="B10" s="285"/>
      <c r="C10" s="285"/>
      <c r="D10" s="285"/>
      <c r="E10" s="285"/>
      <c r="F10" s="285"/>
      <c r="G10" s="285"/>
      <c r="H10" s="286"/>
    </row>
    <row r="11" spans="1:10" ht="15" customHeight="1">
      <c r="A11" s="4"/>
      <c r="B11" s="276"/>
      <c r="C11" s="276"/>
      <c r="D11" s="276"/>
      <c r="E11" s="276"/>
      <c r="F11" s="276"/>
      <c r="G11" s="276"/>
      <c r="H11" s="277"/>
    </row>
    <row r="12" spans="1:10" ht="15" customHeight="1">
      <c r="A12" s="290" t="s">
        <v>602</v>
      </c>
      <c r="B12" s="291"/>
      <c r="C12" s="291"/>
      <c r="D12" s="291"/>
      <c r="E12" s="291"/>
      <c r="F12" s="291"/>
      <c r="G12" s="291"/>
      <c r="H12" s="292"/>
    </row>
    <row r="13" spans="1:10" ht="15" customHeight="1">
      <c r="A13" s="290" t="s">
        <v>393</v>
      </c>
      <c r="B13" s="291"/>
      <c r="C13" s="291"/>
      <c r="D13" s="291"/>
      <c r="E13" s="291"/>
      <c r="F13" s="291"/>
      <c r="G13" s="291"/>
      <c r="H13" s="292"/>
      <c r="I13" s="73"/>
      <c r="J13" s="64"/>
    </row>
    <row r="14" spans="1:10" ht="15" customHeight="1">
      <c r="A14" s="297" t="s">
        <v>771</v>
      </c>
      <c r="B14" s="298"/>
      <c r="C14" s="298"/>
      <c r="D14" s="298"/>
      <c r="E14" s="298"/>
      <c r="F14" s="5"/>
      <c r="G14" s="299" t="s">
        <v>770</v>
      </c>
      <c r="H14" s="300"/>
      <c r="J14" s="64"/>
    </row>
    <row r="15" spans="1:10" ht="25.5">
      <c r="A15" s="8" t="s">
        <v>0</v>
      </c>
      <c r="B15" s="9" t="s">
        <v>1</v>
      </c>
      <c r="C15" s="9" t="s">
        <v>2</v>
      </c>
      <c r="D15" s="8" t="s">
        <v>3</v>
      </c>
      <c r="E15" s="8" t="s">
        <v>4</v>
      </c>
      <c r="F15" s="8" t="s">
        <v>5</v>
      </c>
      <c r="G15" s="9"/>
      <c r="H15" s="9" t="s">
        <v>6</v>
      </c>
    </row>
    <row r="16" spans="1:10">
      <c r="A16" s="8" t="s">
        <v>385</v>
      </c>
      <c r="B16" s="9"/>
      <c r="C16" s="9"/>
      <c r="D16" s="8" t="s">
        <v>386</v>
      </c>
      <c r="E16" s="8"/>
      <c r="F16" s="8"/>
      <c r="G16" s="9"/>
      <c r="H16" s="9"/>
    </row>
    <row r="17" spans="1:13" ht="9" customHeight="1">
      <c r="A17" s="2"/>
      <c r="B17" s="2"/>
      <c r="C17" s="2"/>
      <c r="D17" s="2"/>
      <c r="E17" s="2"/>
      <c r="F17" s="2"/>
      <c r="G17" s="2"/>
      <c r="H17" s="2"/>
    </row>
    <row r="18" spans="1:13">
      <c r="A18" s="10">
        <v>1</v>
      </c>
      <c r="B18" s="3"/>
      <c r="C18" s="3"/>
      <c r="D18" s="10" t="s">
        <v>9</v>
      </c>
      <c r="E18" s="3"/>
      <c r="F18" s="3"/>
      <c r="G18" s="17"/>
      <c r="H18" s="17"/>
      <c r="I18" s="23"/>
    </row>
    <row r="19" spans="1:13" s="41" customFormat="1">
      <c r="A19" s="53" t="s">
        <v>8</v>
      </c>
      <c r="B19" s="43" t="s">
        <v>764</v>
      </c>
      <c r="C19" s="38" t="s">
        <v>243</v>
      </c>
      <c r="D19" s="45" t="s">
        <v>242</v>
      </c>
      <c r="E19" s="38" t="s">
        <v>33</v>
      </c>
      <c r="F19" s="36">
        <f>4*1.5</f>
        <v>6</v>
      </c>
      <c r="G19" s="40"/>
      <c r="H19" s="40"/>
    </row>
    <row r="20" spans="1:13" s="41" customFormat="1">
      <c r="A20" s="53" t="s">
        <v>112</v>
      </c>
      <c r="B20" s="43" t="s">
        <v>764</v>
      </c>
      <c r="C20" s="38" t="s">
        <v>113</v>
      </c>
      <c r="D20" s="45" t="s">
        <v>114</v>
      </c>
      <c r="E20" s="38" t="s">
        <v>36</v>
      </c>
      <c r="F20" s="36">
        <f>6+6</f>
        <v>12</v>
      </c>
      <c r="G20" s="40"/>
      <c r="H20" s="40"/>
    </row>
    <row r="21" spans="1:13" s="41" customFormat="1">
      <c r="A21" s="53" t="s">
        <v>118</v>
      </c>
      <c r="B21" s="43" t="s">
        <v>764</v>
      </c>
      <c r="C21" s="38" t="s">
        <v>115</v>
      </c>
      <c r="D21" s="45" t="s">
        <v>116</v>
      </c>
      <c r="E21" s="38" t="s">
        <v>117</v>
      </c>
      <c r="F21" s="36">
        <f>F20*4</f>
        <v>48</v>
      </c>
      <c r="G21" s="40"/>
      <c r="H21" s="40"/>
      <c r="I21" s="46"/>
    </row>
    <row r="22" spans="1:13" s="41" customFormat="1">
      <c r="A22" s="53" t="s">
        <v>120</v>
      </c>
      <c r="B22" s="43" t="s">
        <v>764</v>
      </c>
      <c r="C22" s="38" t="s">
        <v>119</v>
      </c>
      <c r="D22" s="45" t="s">
        <v>121</v>
      </c>
      <c r="E22" s="38" t="s">
        <v>33</v>
      </c>
      <c r="F22" s="36">
        <f>18.76*2</f>
        <v>37.520000000000003</v>
      </c>
      <c r="G22" s="40"/>
      <c r="H22" s="40"/>
    </row>
    <row r="23" spans="1:13">
      <c r="A23" s="2"/>
      <c r="B23" s="43"/>
      <c r="C23" s="6"/>
      <c r="D23" s="28" t="s">
        <v>42</v>
      </c>
      <c r="E23" s="6"/>
      <c r="F23" s="19"/>
      <c r="G23" s="16"/>
      <c r="H23" s="21"/>
      <c r="I23" s="23"/>
    </row>
    <row r="24" spans="1:13">
      <c r="A24" s="10">
        <v>2</v>
      </c>
      <c r="B24" s="7"/>
      <c r="C24" s="7"/>
      <c r="D24" s="10" t="s">
        <v>56</v>
      </c>
      <c r="E24" s="13"/>
      <c r="F24" s="20"/>
      <c r="G24" s="18"/>
      <c r="H24" s="18"/>
      <c r="I24" s="23"/>
    </row>
    <row r="25" spans="1:13" s="41" customFormat="1" ht="43.5">
      <c r="A25" s="37" t="s">
        <v>10</v>
      </c>
      <c r="B25" s="43" t="s">
        <v>764</v>
      </c>
      <c r="C25" s="38" t="s">
        <v>89</v>
      </c>
      <c r="D25" s="45" t="s">
        <v>660</v>
      </c>
      <c r="E25" s="38" t="s">
        <v>34</v>
      </c>
      <c r="F25" s="36">
        <f>(0.5*0.15*2.8*2)+(0.69*2*0.15*4)+(3.14*1.5*0.1*2)</f>
        <v>2.19</v>
      </c>
      <c r="G25" s="40"/>
      <c r="H25" s="40"/>
      <c r="I25" s="46"/>
      <c r="J25" s="46"/>
    </row>
    <row r="26" spans="1:13" s="41" customFormat="1" ht="29.25">
      <c r="A26" s="37" t="s">
        <v>83</v>
      </c>
      <c r="B26" s="43" t="s">
        <v>764</v>
      </c>
      <c r="C26" s="38" t="s">
        <v>300</v>
      </c>
      <c r="D26" s="45" t="s">
        <v>611</v>
      </c>
      <c r="E26" s="38" t="s">
        <v>34</v>
      </c>
      <c r="F26" s="36">
        <f>((0.25*0.15*4)+(1.81*0.25*0.15*2))*2</f>
        <v>0.57150000000000001</v>
      </c>
      <c r="G26" s="40"/>
      <c r="H26" s="40"/>
      <c r="I26" s="136"/>
      <c r="J26" s="46"/>
    </row>
    <row r="27" spans="1:13" s="41" customFormat="1">
      <c r="A27" s="37" t="s">
        <v>84</v>
      </c>
      <c r="B27" s="43" t="s">
        <v>764</v>
      </c>
      <c r="C27" s="38" t="s">
        <v>197</v>
      </c>
      <c r="D27" s="45" t="s">
        <v>199</v>
      </c>
      <c r="E27" s="38" t="s">
        <v>33</v>
      </c>
      <c r="F27" s="36">
        <f>10.41*2*1.077</f>
        <v>22.42314</v>
      </c>
      <c r="G27" s="40"/>
      <c r="H27" s="40"/>
      <c r="I27" s="47"/>
    </row>
    <row r="28" spans="1:13" s="41" customFormat="1">
      <c r="A28" s="37" t="s">
        <v>85</v>
      </c>
      <c r="B28" s="43" t="s">
        <v>764</v>
      </c>
      <c r="C28" s="38" t="s">
        <v>200</v>
      </c>
      <c r="D28" s="45" t="s">
        <v>201</v>
      </c>
      <c r="E28" s="38" t="s">
        <v>33</v>
      </c>
      <c r="F28" s="36">
        <f>10.41*2*1.077</f>
        <v>22.42314</v>
      </c>
      <c r="G28" s="40"/>
      <c r="H28" s="40"/>
      <c r="I28" s="46"/>
    </row>
    <row r="29" spans="1:13" s="41" customFormat="1">
      <c r="A29" s="37" t="s">
        <v>86</v>
      </c>
      <c r="B29" s="43" t="s">
        <v>764</v>
      </c>
      <c r="C29" s="38" t="s">
        <v>202</v>
      </c>
      <c r="D29" s="45" t="s">
        <v>203</v>
      </c>
      <c r="E29" s="38" t="s">
        <v>33</v>
      </c>
      <c r="F29" s="36">
        <f>2*0.8*2</f>
        <v>3.2</v>
      </c>
      <c r="G29" s="40"/>
      <c r="H29" s="40"/>
      <c r="M29" s="50"/>
    </row>
    <row r="30" spans="1:13" s="41" customFormat="1">
      <c r="A30" s="37" t="s">
        <v>87</v>
      </c>
      <c r="B30" s="43" t="s">
        <v>764</v>
      </c>
      <c r="C30" s="38" t="s">
        <v>181</v>
      </c>
      <c r="D30" s="45" t="s">
        <v>182</v>
      </c>
      <c r="E30" s="38" t="s">
        <v>36</v>
      </c>
      <c r="F30" s="36">
        <f>2.82*1.077*4</f>
        <v>12.148559999999998</v>
      </c>
      <c r="G30" s="40"/>
      <c r="H30" s="40"/>
      <c r="M30" s="51"/>
    </row>
    <row r="31" spans="1:13" s="41" customFormat="1">
      <c r="A31" s="37" t="s">
        <v>88</v>
      </c>
      <c r="B31" s="43" t="s">
        <v>764</v>
      </c>
      <c r="C31" s="38" t="s">
        <v>204</v>
      </c>
      <c r="D31" s="45" t="s">
        <v>301</v>
      </c>
      <c r="E31" s="38" t="s">
        <v>33</v>
      </c>
      <c r="F31" s="36">
        <f>14.85*3*2+(1.81*4*3)</f>
        <v>110.82</v>
      </c>
      <c r="G31" s="40"/>
      <c r="H31" s="40"/>
      <c r="M31" s="52"/>
    </row>
    <row r="32" spans="1:13" s="41" customFormat="1" ht="29.25">
      <c r="A32" s="37" t="s">
        <v>111</v>
      </c>
      <c r="B32" s="43" t="s">
        <v>764</v>
      </c>
      <c r="C32" s="38" t="s">
        <v>198</v>
      </c>
      <c r="D32" s="45" t="s">
        <v>608</v>
      </c>
      <c r="E32" s="38" t="s">
        <v>33</v>
      </c>
      <c r="F32" s="36">
        <f>14.89*2+2.78*2</f>
        <v>35.340000000000003</v>
      </c>
      <c r="G32" s="40"/>
      <c r="H32" s="40"/>
      <c r="M32" s="52"/>
    </row>
    <row r="33" spans="1:13" s="41" customFormat="1">
      <c r="A33" s="37" t="s">
        <v>219</v>
      </c>
      <c r="B33" s="43" t="s">
        <v>764</v>
      </c>
      <c r="C33" s="57" t="s">
        <v>218</v>
      </c>
      <c r="D33" s="45" t="s">
        <v>220</v>
      </c>
      <c r="E33" s="38" t="s">
        <v>33</v>
      </c>
      <c r="F33" s="36">
        <f>2.1*0.8*2+(6*0.6*1.8)</f>
        <v>9.84</v>
      </c>
      <c r="G33" s="40"/>
      <c r="H33" s="40"/>
      <c r="M33" s="52"/>
    </row>
    <row r="34" spans="1:13" s="41" customFormat="1">
      <c r="A34" s="37" t="s">
        <v>222</v>
      </c>
      <c r="B34" s="43" t="s">
        <v>764</v>
      </c>
      <c r="C34" s="57" t="s">
        <v>228</v>
      </c>
      <c r="D34" s="45" t="s">
        <v>302</v>
      </c>
      <c r="E34" s="38" t="s">
        <v>33</v>
      </c>
      <c r="F34" s="36">
        <f>(14.89*2)+(2.59*2)+(13.23*2*2)+(2.34*2*2)</f>
        <v>97.24</v>
      </c>
      <c r="G34" s="40"/>
      <c r="H34" s="40"/>
      <c r="M34" s="52"/>
    </row>
    <row r="35" spans="1:13" s="41" customFormat="1" ht="29.25">
      <c r="A35" s="37" t="s">
        <v>613</v>
      </c>
      <c r="B35" s="43" t="s">
        <v>764</v>
      </c>
      <c r="C35" s="57" t="s">
        <v>612</v>
      </c>
      <c r="D35" s="45" t="s">
        <v>734</v>
      </c>
      <c r="E35" s="38" t="s">
        <v>34</v>
      </c>
      <c r="F35" s="36">
        <f>(31.75*0.05)+(14.84*2*0.05)+(2.76*2*0.05)+(3.14*1.5*0.1*2)</f>
        <v>4.2895000000000003</v>
      </c>
      <c r="G35" s="40"/>
      <c r="H35" s="40"/>
      <c r="M35" s="52"/>
    </row>
    <row r="36" spans="1:13" s="41" customFormat="1" ht="29.25">
      <c r="A36" s="37" t="s">
        <v>616</v>
      </c>
      <c r="B36" s="43" t="s">
        <v>764</v>
      </c>
      <c r="C36" s="57" t="s">
        <v>614</v>
      </c>
      <c r="D36" s="45" t="s">
        <v>664</v>
      </c>
      <c r="E36" s="38" t="s">
        <v>615</v>
      </c>
      <c r="F36" s="36">
        <v>7</v>
      </c>
      <c r="G36" s="40"/>
      <c r="H36" s="40"/>
      <c r="M36" s="52"/>
    </row>
    <row r="37" spans="1:13" s="41" customFormat="1">
      <c r="A37" s="37" t="s">
        <v>619</v>
      </c>
      <c r="B37" s="43" t="s">
        <v>764</v>
      </c>
      <c r="C37" s="57" t="s">
        <v>618</v>
      </c>
      <c r="D37" s="45" t="s">
        <v>617</v>
      </c>
      <c r="E37" s="38" t="s">
        <v>33</v>
      </c>
      <c r="F37" s="36">
        <v>5.6</v>
      </c>
      <c r="G37" s="40"/>
      <c r="H37" s="40"/>
      <c r="M37" s="52"/>
    </row>
    <row r="38" spans="1:13" s="41" customFormat="1">
      <c r="A38" s="37" t="s">
        <v>623</v>
      </c>
      <c r="B38" s="43" t="s">
        <v>764</v>
      </c>
      <c r="C38" s="57" t="s">
        <v>622</v>
      </c>
      <c r="D38" s="45" t="s">
        <v>628</v>
      </c>
      <c r="E38" s="38" t="s">
        <v>33</v>
      </c>
      <c r="F38" s="36">
        <f>0.86*2</f>
        <v>1.72</v>
      </c>
      <c r="G38" s="40"/>
      <c r="H38" s="40"/>
      <c r="M38" s="52"/>
    </row>
    <row r="39" spans="1:13" s="41" customFormat="1" ht="29.25">
      <c r="A39" s="37" t="s">
        <v>641</v>
      </c>
      <c r="B39" s="43" t="s">
        <v>764</v>
      </c>
      <c r="C39" s="57" t="s">
        <v>639</v>
      </c>
      <c r="D39" s="45" t="s">
        <v>638</v>
      </c>
      <c r="E39" s="38" t="s">
        <v>34</v>
      </c>
      <c r="F39" s="36">
        <f>F25+F26+(F31*0.02)+(F32*0.01)+(F34*0.01)</f>
        <v>6.3036999999999992</v>
      </c>
      <c r="G39" s="40"/>
      <c r="H39" s="40"/>
      <c r="M39" s="52"/>
    </row>
    <row r="40" spans="1:13" s="41" customFormat="1" ht="29.25">
      <c r="A40" s="37" t="s">
        <v>662</v>
      </c>
      <c r="B40" s="43" t="s">
        <v>764</v>
      </c>
      <c r="C40" s="38" t="s">
        <v>40</v>
      </c>
      <c r="D40" s="45" t="s">
        <v>304</v>
      </c>
      <c r="E40" s="38" t="s">
        <v>34</v>
      </c>
      <c r="F40" s="36">
        <f>16.8*0.4*0.25</f>
        <v>1.6800000000000002</v>
      </c>
      <c r="G40" s="40"/>
      <c r="H40" s="40"/>
      <c r="M40" s="52"/>
    </row>
    <row r="41" spans="1:13" s="41" customFormat="1" ht="29.25">
      <c r="A41" s="37" t="s">
        <v>672</v>
      </c>
      <c r="B41" s="43" t="s">
        <v>764</v>
      </c>
      <c r="C41" s="57" t="s">
        <v>661</v>
      </c>
      <c r="D41" s="45" t="s">
        <v>663</v>
      </c>
      <c r="E41" s="38" t="s">
        <v>36</v>
      </c>
      <c r="F41" s="36">
        <f>4.2*4</f>
        <v>16.8</v>
      </c>
      <c r="G41" s="40"/>
      <c r="H41" s="40"/>
      <c r="M41" s="52"/>
    </row>
    <row r="42" spans="1:13" s="41" customFormat="1">
      <c r="A42" s="37" t="s">
        <v>673</v>
      </c>
      <c r="B42" s="43" t="s">
        <v>764</v>
      </c>
      <c r="C42" s="38" t="s">
        <v>388</v>
      </c>
      <c r="D42" s="45" t="s">
        <v>387</v>
      </c>
      <c r="E42" s="38" t="s">
        <v>34</v>
      </c>
      <c r="F42" s="36">
        <f>(2.51*0.6*2)*1.3+F40</f>
        <v>5.5955999999999992</v>
      </c>
      <c r="G42" s="40"/>
      <c r="H42" s="40"/>
      <c r="M42" s="52"/>
    </row>
    <row r="43" spans="1:13">
      <c r="A43" s="12"/>
      <c r="B43" s="6"/>
      <c r="C43" s="6"/>
      <c r="D43" s="28" t="s">
        <v>43</v>
      </c>
      <c r="E43" s="6"/>
      <c r="G43" s="16"/>
      <c r="H43" s="21"/>
      <c r="I43" s="23"/>
      <c r="M43" s="35"/>
    </row>
    <row r="44" spans="1:13">
      <c r="A44" s="10">
        <v>3</v>
      </c>
      <c r="B44" s="7"/>
      <c r="C44" s="7"/>
      <c r="D44" s="10" t="s">
        <v>205</v>
      </c>
      <c r="E44" s="13"/>
      <c r="F44" s="20"/>
      <c r="G44" s="18"/>
      <c r="H44" s="17"/>
      <c r="I44" s="23"/>
      <c r="M44" s="23"/>
    </row>
    <row r="45" spans="1:13" s="41" customFormat="1">
      <c r="A45" s="37" t="s">
        <v>11</v>
      </c>
      <c r="B45" s="43" t="s">
        <v>764</v>
      </c>
      <c r="C45" s="38" t="s">
        <v>231</v>
      </c>
      <c r="D45" s="45" t="s">
        <v>609</v>
      </c>
      <c r="E45" s="38" t="s">
        <v>36</v>
      </c>
      <c r="F45" s="36">
        <f>10*4</f>
        <v>40</v>
      </c>
      <c r="G45" s="40"/>
      <c r="H45" s="40"/>
      <c r="I45" s="46"/>
      <c r="J45" s="46"/>
      <c r="M45" s="46"/>
    </row>
    <row r="46" spans="1:13" s="41" customFormat="1">
      <c r="A46" s="37" t="s">
        <v>90</v>
      </c>
      <c r="B46" s="43" t="s">
        <v>764</v>
      </c>
      <c r="C46" s="38" t="s">
        <v>96</v>
      </c>
      <c r="D46" s="45" t="s">
        <v>303</v>
      </c>
      <c r="E46" s="38" t="s">
        <v>34</v>
      </c>
      <c r="F46" s="36">
        <f>0.6*0.6*0.35*10</f>
        <v>1.26</v>
      </c>
      <c r="G46" s="40"/>
      <c r="H46" s="40"/>
      <c r="I46" s="46"/>
      <c r="J46" s="46"/>
    </row>
    <row r="47" spans="1:13" s="41" customFormat="1" ht="29.25">
      <c r="A47" s="37" t="s">
        <v>91</v>
      </c>
      <c r="B47" s="43" t="s">
        <v>764</v>
      </c>
      <c r="C47" s="38" t="s">
        <v>39</v>
      </c>
      <c r="D47" s="45" t="s">
        <v>308</v>
      </c>
      <c r="E47" s="38" t="s">
        <v>34</v>
      </c>
      <c r="F47" s="36">
        <f>F46</f>
        <v>1.26</v>
      </c>
      <c r="G47" s="40"/>
      <c r="H47" s="40"/>
      <c r="I47" s="46"/>
    </row>
    <row r="48" spans="1:13" s="41" customFormat="1">
      <c r="A48" s="37" t="s">
        <v>92</v>
      </c>
      <c r="B48" s="43" t="s">
        <v>764</v>
      </c>
      <c r="C48" s="38" t="s">
        <v>100</v>
      </c>
      <c r="D48" s="45" t="s">
        <v>305</v>
      </c>
      <c r="E48" s="38" t="s">
        <v>99</v>
      </c>
      <c r="F48" s="36">
        <f>F46*60</f>
        <v>75.599999999999994</v>
      </c>
      <c r="G48" s="40"/>
      <c r="H48" s="40"/>
    </row>
    <row r="49" spans="1:9" s="41" customFormat="1" ht="29.25">
      <c r="A49" s="37" t="s">
        <v>93</v>
      </c>
      <c r="B49" s="43" t="s">
        <v>764</v>
      </c>
      <c r="C49" s="38" t="s">
        <v>40</v>
      </c>
      <c r="D49" s="45" t="s">
        <v>304</v>
      </c>
      <c r="E49" s="38" t="s">
        <v>34</v>
      </c>
      <c r="F49" s="36">
        <f>(1.7+1.25+3.5+3.15+1.11)*2*0.2*0.3+(0.6*0.6*0.35*10)</f>
        <v>2.5451999999999999</v>
      </c>
      <c r="G49" s="40"/>
      <c r="H49" s="40"/>
    </row>
    <row r="50" spans="1:9" s="41" customFormat="1">
      <c r="A50" s="37" t="s">
        <v>94</v>
      </c>
      <c r="B50" s="43" t="s">
        <v>764</v>
      </c>
      <c r="C50" s="38" t="s">
        <v>96</v>
      </c>
      <c r="D50" s="45" t="s">
        <v>306</v>
      </c>
      <c r="E50" s="38" t="s">
        <v>34</v>
      </c>
      <c r="F50" s="36">
        <f>((1.7+1.25+3.5+3.15+1.11))*2*0.3*0.2</f>
        <v>1.2851999999999999</v>
      </c>
      <c r="G50" s="40"/>
      <c r="H50" s="40"/>
    </row>
    <row r="51" spans="1:9" s="41" customFormat="1" ht="29.25">
      <c r="A51" s="37" t="s">
        <v>95</v>
      </c>
      <c r="B51" s="43" t="s">
        <v>764</v>
      </c>
      <c r="C51" s="38" t="s">
        <v>39</v>
      </c>
      <c r="D51" s="45" t="s">
        <v>307</v>
      </c>
      <c r="E51" s="38" t="s">
        <v>34</v>
      </c>
      <c r="F51" s="36">
        <f>F50</f>
        <v>1.2851999999999999</v>
      </c>
      <c r="G51" s="40"/>
      <c r="H51" s="40"/>
    </row>
    <row r="52" spans="1:9" s="41" customFormat="1" ht="29.25">
      <c r="A52" s="37" t="s">
        <v>248</v>
      </c>
      <c r="B52" s="43" t="s">
        <v>764</v>
      </c>
      <c r="C52" s="38" t="s">
        <v>98</v>
      </c>
      <c r="D52" s="45" t="s">
        <v>610</v>
      </c>
      <c r="E52" s="38" t="s">
        <v>99</v>
      </c>
      <c r="F52" s="36">
        <f>F50*90*0.8+(1.5*4*0.56)</f>
        <v>95.894400000000005</v>
      </c>
      <c r="G52" s="40"/>
      <c r="H52" s="40"/>
    </row>
    <row r="53" spans="1:9" s="41" customFormat="1">
      <c r="A53" s="37" t="s">
        <v>280</v>
      </c>
      <c r="B53" s="43" t="s">
        <v>764</v>
      </c>
      <c r="C53" s="38" t="s">
        <v>100</v>
      </c>
      <c r="D53" s="45" t="s">
        <v>415</v>
      </c>
      <c r="E53" s="38" t="s">
        <v>99</v>
      </c>
      <c r="F53" s="36">
        <f>F50*90*0.2</f>
        <v>23.133600000000001</v>
      </c>
      <c r="G53" s="40"/>
      <c r="H53" s="40"/>
    </row>
    <row r="54" spans="1:9" s="41" customFormat="1" ht="29.25">
      <c r="A54" s="37" t="s">
        <v>310</v>
      </c>
      <c r="B54" s="43" t="s">
        <v>764</v>
      </c>
      <c r="C54" s="38" t="s">
        <v>223</v>
      </c>
      <c r="D54" s="45" t="s">
        <v>309</v>
      </c>
      <c r="E54" s="38" t="s">
        <v>34</v>
      </c>
      <c r="F54" s="36">
        <f>((6.84+3.5)*2+(14.25*2))*0.05</f>
        <v>2.4590000000000001</v>
      </c>
      <c r="G54" s="40"/>
      <c r="H54" s="40"/>
    </row>
    <row r="55" spans="1:9" s="41" customFormat="1">
      <c r="A55" s="37" t="s">
        <v>311</v>
      </c>
      <c r="B55" s="43" t="s">
        <v>764</v>
      </c>
      <c r="C55" s="38" t="s">
        <v>247</v>
      </c>
      <c r="D55" s="45" t="s">
        <v>313</v>
      </c>
      <c r="E55" s="38" t="s">
        <v>34</v>
      </c>
      <c r="F55" s="36">
        <f>(0.6*0.6*10*0.03)+(((1.7+1.25+3.5+3.15+1.11)*0.2*2)*0.03)</f>
        <v>0.23651999999999998</v>
      </c>
      <c r="G55" s="40"/>
      <c r="H55" s="40"/>
    </row>
    <row r="56" spans="1:9" s="41" customFormat="1">
      <c r="A56" s="37" t="s">
        <v>312</v>
      </c>
      <c r="B56" s="43" t="s">
        <v>764</v>
      </c>
      <c r="C56" s="38" t="s">
        <v>279</v>
      </c>
      <c r="D56" s="45" t="s">
        <v>665</v>
      </c>
      <c r="E56" s="38" t="s">
        <v>33</v>
      </c>
      <c r="F56" s="36">
        <f>(0.6*4*0.35*10)+((1.7+1.25+3.5+3.15+1.11)*2*0.6)</f>
        <v>21.251999999999999</v>
      </c>
      <c r="G56" s="40"/>
      <c r="H56" s="40"/>
    </row>
    <row r="57" spans="1:9" s="41" customFormat="1">
      <c r="A57" s="37" t="s">
        <v>392</v>
      </c>
      <c r="B57" s="43" t="s">
        <v>764</v>
      </c>
      <c r="C57" s="38" t="s">
        <v>388</v>
      </c>
      <c r="D57" s="45" t="s">
        <v>387</v>
      </c>
      <c r="E57" s="38" t="s">
        <v>34</v>
      </c>
      <c r="F57" s="36">
        <f>(6.84+3.5+14.25)*2*0.15</f>
        <v>7.3769999999999998</v>
      </c>
      <c r="G57" s="40"/>
      <c r="H57" s="40"/>
    </row>
    <row r="58" spans="1:9">
      <c r="A58" s="12"/>
      <c r="B58" s="6"/>
      <c r="C58" s="6"/>
      <c r="D58" s="28" t="s">
        <v>44</v>
      </c>
      <c r="E58" s="6"/>
      <c r="F58" s="19"/>
      <c r="G58" s="16"/>
      <c r="H58" s="21"/>
      <c r="I58" s="23"/>
    </row>
    <row r="59" spans="1:9">
      <c r="A59" s="10">
        <v>4</v>
      </c>
      <c r="B59" s="7"/>
      <c r="C59" s="7"/>
      <c r="D59" s="10" t="s">
        <v>30</v>
      </c>
      <c r="E59" s="13"/>
      <c r="F59" s="20"/>
      <c r="G59" s="18"/>
      <c r="H59" s="17"/>
    </row>
    <row r="60" spans="1:9" s="41" customFormat="1">
      <c r="A60" s="37" t="s">
        <v>12</v>
      </c>
      <c r="B60" s="43" t="s">
        <v>764</v>
      </c>
      <c r="C60" s="38" t="s">
        <v>101</v>
      </c>
      <c r="D60" s="45" t="s">
        <v>314</v>
      </c>
      <c r="E60" s="38" t="s">
        <v>34</v>
      </c>
      <c r="F60" s="36">
        <f>10*0.15*0.25*3</f>
        <v>1.125</v>
      </c>
      <c r="G60" s="40"/>
      <c r="H60" s="40"/>
      <c r="I60" s="58"/>
    </row>
    <row r="61" spans="1:9" s="41" customFormat="1" ht="29.25">
      <c r="A61" s="37" t="s">
        <v>13</v>
      </c>
      <c r="B61" s="43" t="s">
        <v>764</v>
      </c>
      <c r="C61" s="38" t="s">
        <v>39</v>
      </c>
      <c r="D61" s="45" t="s">
        <v>97</v>
      </c>
      <c r="E61" s="38" t="s">
        <v>34</v>
      </c>
      <c r="F61" s="36">
        <f>F60</f>
        <v>1.125</v>
      </c>
      <c r="G61" s="40"/>
      <c r="H61" s="40"/>
      <c r="I61" s="58"/>
    </row>
    <row r="62" spans="1:9" s="41" customFormat="1">
      <c r="A62" s="37" t="s">
        <v>14</v>
      </c>
      <c r="B62" s="43" t="s">
        <v>764</v>
      </c>
      <c r="C62" s="38" t="s">
        <v>98</v>
      </c>
      <c r="D62" s="45" t="s">
        <v>315</v>
      </c>
      <c r="E62" s="38" t="s">
        <v>99</v>
      </c>
      <c r="F62" s="36">
        <f>F60*90*0.8</f>
        <v>81</v>
      </c>
      <c r="G62" s="40"/>
      <c r="H62" s="40"/>
    </row>
    <row r="63" spans="1:9" s="41" customFormat="1">
      <c r="A63" s="37" t="s">
        <v>35</v>
      </c>
      <c r="B63" s="43" t="s">
        <v>764</v>
      </c>
      <c r="C63" s="38" t="s">
        <v>100</v>
      </c>
      <c r="D63" s="45" t="s">
        <v>316</v>
      </c>
      <c r="E63" s="38" t="s">
        <v>99</v>
      </c>
      <c r="F63" s="36">
        <f>F60*90*0.2</f>
        <v>20.25</v>
      </c>
      <c r="G63" s="40"/>
      <c r="H63" s="40"/>
      <c r="I63" s="58"/>
    </row>
    <row r="64" spans="1:9" s="41" customFormat="1">
      <c r="A64" s="37" t="s">
        <v>324</v>
      </c>
      <c r="B64" s="43" t="s">
        <v>764</v>
      </c>
      <c r="C64" s="38" t="s">
        <v>102</v>
      </c>
      <c r="D64" s="45" t="s">
        <v>320</v>
      </c>
      <c r="E64" s="38" t="s">
        <v>33</v>
      </c>
      <c r="F64" s="36">
        <f>0.25*2*3*10</f>
        <v>15</v>
      </c>
      <c r="G64" s="40"/>
      <c r="H64" s="40"/>
    </row>
    <row r="65" spans="1:10" s="41" customFormat="1">
      <c r="A65" s="37" t="s">
        <v>325</v>
      </c>
      <c r="B65" s="43" t="s">
        <v>764</v>
      </c>
      <c r="C65" s="38" t="s">
        <v>101</v>
      </c>
      <c r="D65" s="45" t="s">
        <v>317</v>
      </c>
      <c r="E65" s="38" t="s">
        <v>34</v>
      </c>
      <c r="F65" s="36">
        <f>(3.15+3.15+3.5+1.25+1.81)*0.25*0.15*2</f>
        <v>0.96450000000000002</v>
      </c>
      <c r="G65" s="40"/>
      <c r="H65" s="40"/>
    </row>
    <row r="66" spans="1:10" s="41" customFormat="1" ht="29.25">
      <c r="A66" s="37" t="s">
        <v>326</v>
      </c>
      <c r="B66" s="43" t="s">
        <v>764</v>
      </c>
      <c r="C66" s="38" t="s">
        <v>39</v>
      </c>
      <c r="D66" s="45" t="s">
        <v>97</v>
      </c>
      <c r="E66" s="38" t="s">
        <v>34</v>
      </c>
      <c r="F66" s="36">
        <f>F65</f>
        <v>0.96450000000000002</v>
      </c>
      <c r="G66" s="40"/>
      <c r="H66" s="40"/>
    </row>
    <row r="67" spans="1:10" s="41" customFormat="1">
      <c r="A67" s="37" t="s">
        <v>327</v>
      </c>
      <c r="B67" s="43" t="s">
        <v>764</v>
      </c>
      <c r="C67" s="38" t="s">
        <v>98</v>
      </c>
      <c r="D67" s="45" t="s">
        <v>318</v>
      </c>
      <c r="E67" s="38" t="s">
        <v>99</v>
      </c>
      <c r="F67" s="36">
        <f>F66*90*0.8</f>
        <v>69.444000000000003</v>
      </c>
      <c r="G67" s="40"/>
      <c r="H67" s="40"/>
    </row>
    <row r="68" spans="1:10" s="41" customFormat="1">
      <c r="A68" s="37" t="s">
        <v>328</v>
      </c>
      <c r="B68" s="43" t="s">
        <v>764</v>
      </c>
      <c r="C68" s="38" t="s">
        <v>100</v>
      </c>
      <c r="D68" s="45" t="s">
        <v>319</v>
      </c>
      <c r="E68" s="38" t="s">
        <v>99</v>
      </c>
      <c r="F68" s="36">
        <f>F66*90*0.2</f>
        <v>17.361000000000001</v>
      </c>
      <c r="G68" s="40"/>
      <c r="H68" s="40"/>
    </row>
    <row r="69" spans="1:10" s="41" customFormat="1">
      <c r="A69" s="37" t="s">
        <v>329</v>
      </c>
      <c r="B69" s="43" t="s">
        <v>764</v>
      </c>
      <c r="C69" s="38" t="s">
        <v>102</v>
      </c>
      <c r="D69" s="45" t="s">
        <v>321</v>
      </c>
      <c r="E69" s="38" t="s">
        <v>33</v>
      </c>
      <c r="F69" s="36">
        <f>(3.15+3.15+3.5+1.25+1.81)*0.5*2</f>
        <v>12.860000000000001</v>
      </c>
      <c r="G69" s="40"/>
      <c r="H69" s="40"/>
      <c r="J69" s="46"/>
    </row>
    <row r="70" spans="1:10">
      <c r="A70" s="12"/>
      <c r="B70" s="43"/>
      <c r="C70" s="6"/>
      <c r="D70" s="28" t="s">
        <v>45</v>
      </c>
      <c r="E70" s="138"/>
      <c r="F70" s="19"/>
      <c r="G70" s="40"/>
      <c r="H70" s="21"/>
      <c r="I70" s="23"/>
    </row>
    <row r="71" spans="1:10">
      <c r="A71" s="10">
        <v>5</v>
      </c>
      <c r="B71" s="7"/>
      <c r="C71" s="7"/>
      <c r="D71" s="10" t="s">
        <v>107</v>
      </c>
      <c r="E71" s="13"/>
      <c r="F71" s="20"/>
      <c r="G71" s="18"/>
      <c r="H71" s="17"/>
    </row>
    <row r="72" spans="1:10" s="41" customFormat="1">
      <c r="A72" s="37" t="s">
        <v>330</v>
      </c>
      <c r="B72" s="43" t="s">
        <v>764</v>
      </c>
      <c r="C72" s="38" t="s">
        <v>323</v>
      </c>
      <c r="D72" s="45" t="s">
        <v>322</v>
      </c>
      <c r="E72" s="38" t="s">
        <v>33</v>
      </c>
      <c r="F72" s="36">
        <f>(1.7+1.25+3.5+3.15+1.11)*2.75*2</f>
        <v>58.904999999999994</v>
      </c>
      <c r="G72" s="40"/>
      <c r="H72" s="40"/>
      <c r="I72" s="46"/>
    </row>
    <row r="73" spans="1:10" s="41" customFormat="1">
      <c r="A73" s="37" t="s">
        <v>16</v>
      </c>
      <c r="B73" s="43" t="s">
        <v>764</v>
      </c>
      <c r="C73" s="38" t="s">
        <v>108</v>
      </c>
      <c r="D73" s="45" t="s">
        <v>109</v>
      </c>
      <c r="E73" s="38" t="s">
        <v>33</v>
      </c>
      <c r="F73" s="36">
        <f>1.3*2*3+(0.3*2*2)+(0.4*1.2*2)</f>
        <v>9.9600000000000009</v>
      </c>
      <c r="G73" s="40"/>
      <c r="H73" s="40"/>
      <c r="I73" s="135"/>
    </row>
    <row r="74" spans="1:10" s="41" customFormat="1">
      <c r="A74" s="37" t="s">
        <v>331</v>
      </c>
      <c r="B74" s="43" t="s">
        <v>764</v>
      </c>
      <c r="C74" s="38" t="s">
        <v>224</v>
      </c>
      <c r="D74" s="45" t="s">
        <v>225</v>
      </c>
      <c r="E74" s="38" t="s">
        <v>34</v>
      </c>
      <c r="F74" s="36">
        <f>(2.38*2+1.55*2)*0.14*0.2</f>
        <v>0.22008000000000003</v>
      </c>
      <c r="G74" s="40"/>
      <c r="H74" s="40"/>
      <c r="I74" s="59"/>
    </row>
    <row r="75" spans="1:10">
      <c r="A75" s="12"/>
      <c r="B75" s="43"/>
      <c r="C75" s="6"/>
      <c r="D75" s="28" t="s">
        <v>46</v>
      </c>
      <c r="E75" s="6"/>
      <c r="F75" s="19"/>
      <c r="G75" s="16"/>
      <c r="H75" s="21"/>
      <c r="I75" s="23"/>
    </row>
    <row r="76" spans="1:10">
      <c r="A76" s="10">
        <v>6</v>
      </c>
      <c r="B76" s="7"/>
      <c r="C76" s="7"/>
      <c r="D76" s="10" t="s">
        <v>15</v>
      </c>
      <c r="E76" s="13"/>
      <c r="F76" s="20"/>
      <c r="G76" s="18"/>
      <c r="H76" s="17"/>
      <c r="I76" s="23"/>
    </row>
    <row r="77" spans="1:10" s="41" customFormat="1">
      <c r="A77" s="37" t="s">
        <v>17</v>
      </c>
      <c r="B77" s="43" t="s">
        <v>764</v>
      </c>
      <c r="C77" s="38" t="s">
        <v>192</v>
      </c>
      <c r="D77" s="45" t="s">
        <v>193</v>
      </c>
      <c r="E77" s="38" t="s">
        <v>33</v>
      </c>
      <c r="F77" s="36">
        <f>22.12*2*1.077</f>
        <v>47.646479999999997</v>
      </c>
      <c r="G77" s="40"/>
      <c r="H77" s="40"/>
      <c r="I77" s="46"/>
      <c r="J77" s="46"/>
    </row>
    <row r="78" spans="1:10" s="41" customFormat="1">
      <c r="A78" s="37" t="s">
        <v>18</v>
      </c>
      <c r="B78" s="43" t="s">
        <v>764</v>
      </c>
      <c r="C78" s="38" t="s">
        <v>667</v>
      </c>
      <c r="D78" s="49" t="s">
        <v>666</v>
      </c>
      <c r="E78" s="38" t="s">
        <v>33</v>
      </c>
      <c r="F78" s="36">
        <f>F77</f>
        <v>47.646479999999997</v>
      </c>
      <c r="G78" s="40"/>
      <c r="H78" s="40"/>
      <c r="I78" s="46"/>
      <c r="J78" s="46"/>
    </row>
    <row r="79" spans="1:10" s="41" customFormat="1" ht="17.25" customHeight="1">
      <c r="A79" s="37" t="s">
        <v>179</v>
      </c>
      <c r="B79" s="43" t="s">
        <v>764</v>
      </c>
      <c r="C79" s="38" t="s">
        <v>194</v>
      </c>
      <c r="D79" s="39" t="s">
        <v>195</v>
      </c>
      <c r="E79" s="38" t="s">
        <v>36</v>
      </c>
      <c r="F79" s="36">
        <f>5.6*2</f>
        <v>11.2</v>
      </c>
      <c r="G79" s="40"/>
      <c r="H79" s="40"/>
      <c r="I79" s="46"/>
    </row>
    <row r="80" spans="1:10" s="41" customFormat="1">
      <c r="A80" s="37" t="s">
        <v>180</v>
      </c>
      <c r="B80" s="43" t="s">
        <v>764</v>
      </c>
      <c r="C80" s="38" t="s">
        <v>249</v>
      </c>
      <c r="D80" s="39" t="s">
        <v>250</v>
      </c>
      <c r="E80" s="38" t="s">
        <v>36</v>
      </c>
      <c r="F80" s="36">
        <f>(5.07+5.07+(3.6*4))*1.077</f>
        <v>26.429579999999998</v>
      </c>
      <c r="G80" s="40"/>
      <c r="H80" s="40"/>
      <c r="I80" s="46"/>
    </row>
    <row r="81" spans="1:12" s="41" customFormat="1">
      <c r="A81" s="37" t="s">
        <v>191</v>
      </c>
      <c r="B81" s="43" t="s">
        <v>764</v>
      </c>
      <c r="C81" s="38" t="s">
        <v>103</v>
      </c>
      <c r="D81" s="39" t="s">
        <v>403</v>
      </c>
      <c r="E81" s="38" t="s">
        <v>36</v>
      </c>
      <c r="F81" s="36">
        <f>F80</f>
        <v>26.429579999999998</v>
      </c>
      <c r="G81" s="40"/>
      <c r="H81" s="40"/>
    </row>
    <row r="82" spans="1:12" s="41" customFormat="1">
      <c r="A82" s="37" t="s">
        <v>221</v>
      </c>
      <c r="B82" s="43" t="s">
        <v>764</v>
      </c>
      <c r="C82" s="38" t="s">
        <v>333</v>
      </c>
      <c r="D82" s="39" t="s">
        <v>332</v>
      </c>
      <c r="E82" s="38" t="s">
        <v>36</v>
      </c>
      <c r="F82" s="36">
        <f>3.7*4*1.077</f>
        <v>15.9396</v>
      </c>
      <c r="G82" s="40"/>
      <c r="H82" s="40"/>
    </row>
    <row r="83" spans="1:12" s="41" customFormat="1">
      <c r="A83" s="37"/>
      <c r="B83" s="43"/>
      <c r="C83" s="38"/>
      <c r="D83" s="60" t="s">
        <v>47</v>
      </c>
      <c r="E83" s="38"/>
      <c r="F83" s="36"/>
      <c r="G83" s="40"/>
      <c r="H83" s="61"/>
      <c r="I83" s="46"/>
    </row>
    <row r="84" spans="1:12">
      <c r="A84" s="10">
        <v>7</v>
      </c>
      <c r="B84" s="7"/>
      <c r="C84" s="13"/>
      <c r="D84" s="10" t="s">
        <v>57</v>
      </c>
      <c r="E84" s="13"/>
      <c r="F84" s="13"/>
      <c r="G84" s="18"/>
      <c r="H84" s="17"/>
      <c r="I84" s="23"/>
    </row>
    <row r="85" spans="1:12">
      <c r="A85" s="12" t="s">
        <v>19</v>
      </c>
      <c r="B85" s="43" t="s">
        <v>764</v>
      </c>
      <c r="C85" s="6" t="s">
        <v>104</v>
      </c>
      <c r="D85" s="34" t="s">
        <v>334</v>
      </c>
      <c r="E85" s="6" t="s">
        <v>33</v>
      </c>
      <c r="F85" s="36">
        <v>49.18</v>
      </c>
      <c r="G85" s="16"/>
      <c r="H85" s="16"/>
    </row>
    <row r="86" spans="1:12">
      <c r="A86" s="12" t="s">
        <v>20</v>
      </c>
      <c r="B86" s="43" t="s">
        <v>764</v>
      </c>
      <c r="C86" s="6" t="s">
        <v>251</v>
      </c>
      <c r="D86" s="34" t="s">
        <v>335</v>
      </c>
      <c r="E86" s="6" t="s">
        <v>33</v>
      </c>
      <c r="F86" s="36">
        <f>26.57*1.077</f>
        <v>28.61589</v>
      </c>
      <c r="G86" s="16"/>
      <c r="H86" s="16"/>
    </row>
    <row r="87" spans="1:12">
      <c r="A87" s="12"/>
      <c r="B87" s="6"/>
      <c r="C87" s="6"/>
      <c r="D87" s="29" t="s">
        <v>48</v>
      </c>
      <c r="E87" s="6"/>
      <c r="F87" s="19"/>
      <c r="G87" s="16"/>
      <c r="H87" s="21"/>
      <c r="I87" s="23"/>
    </row>
    <row r="88" spans="1:12">
      <c r="A88" s="10">
        <v>8</v>
      </c>
      <c r="B88" s="7"/>
      <c r="C88" s="13"/>
      <c r="D88" s="10" t="s">
        <v>58</v>
      </c>
      <c r="E88" s="13"/>
      <c r="F88" s="13"/>
      <c r="G88" s="18"/>
      <c r="H88" s="17"/>
      <c r="I88" s="23"/>
    </row>
    <row r="89" spans="1:12" s="41" customFormat="1">
      <c r="A89" s="37" t="s">
        <v>21</v>
      </c>
      <c r="B89" s="43" t="s">
        <v>764</v>
      </c>
      <c r="C89" s="38" t="s">
        <v>105</v>
      </c>
      <c r="D89" s="37" t="s">
        <v>106</v>
      </c>
      <c r="E89" s="38" t="s">
        <v>33</v>
      </c>
      <c r="F89" s="36">
        <f>(14.84*3*2)+(18.43*3*2)+((3.15+3.15+3.5)*3.2*2)</f>
        <v>262.34000000000003</v>
      </c>
      <c r="G89" s="40"/>
      <c r="H89" s="40"/>
      <c r="I89" s="46"/>
      <c r="J89" s="46"/>
    </row>
    <row r="90" spans="1:12" s="41" customFormat="1">
      <c r="A90" s="37" t="s">
        <v>31</v>
      </c>
      <c r="B90" s="43" t="s">
        <v>764</v>
      </c>
      <c r="C90" s="38" t="s">
        <v>226</v>
      </c>
      <c r="D90" s="45" t="s">
        <v>336</v>
      </c>
      <c r="E90" s="38" t="s">
        <v>33</v>
      </c>
      <c r="F90" s="36">
        <f>F89</f>
        <v>262.34000000000003</v>
      </c>
      <c r="G90" s="40"/>
      <c r="H90" s="40"/>
      <c r="I90" s="46"/>
      <c r="J90" s="46"/>
      <c r="K90" s="46"/>
      <c r="L90" s="46"/>
    </row>
    <row r="91" spans="1:12" s="41" customFormat="1" ht="72.75" customHeight="1">
      <c r="A91" s="37" t="s">
        <v>398</v>
      </c>
      <c r="B91" s="43" t="s">
        <v>764</v>
      </c>
      <c r="C91" s="56" t="s">
        <v>241</v>
      </c>
      <c r="D91" s="45" t="s">
        <v>337</v>
      </c>
      <c r="E91" s="38" t="s">
        <v>33</v>
      </c>
      <c r="F91" s="36">
        <f>((14.84*2*2)+(11.01*2*2)+(1.81*4*2)+(49.18))*1.05</f>
        <v>175.41300000000001</v>
      </c>
      <c r="G91" s="40"/>
      <c r="H91" s="40"/>
      <c r="I91" s="46"/>
    </row>
    <row r="92" spans="1:12" s="41" customFormat="1">
      <c r="A92" s="37" t="s">
        <v>32</v>
      </c>
      <c r="B92" s="43" t="s">
        <v>764</v>
      </c>
      <c r="C92" s="38" t="s">
        <v>232</v>
      </c>
      <c r="D92" s="45" t="s">
        <v>110</v>
      </c>
      <c r="E92" s="38" t="s">
        <v>36</v>
      </c>
      <c r="F92" s="36">
        <f>0.9*4+1.29*2+2*2+1.2*2</f>
        <v>12.58</v>
      </c>
      <c r="G92" s="40"/>
      <c r="H92" s="40"/>
    </row>
    <row r="93" spans="1:12" s="41" customFormat="1">
      <c r="A93" s="37" t="s">
        <v>399</v>
      </c>
      <c r="B93" s="43" t="s">
        <v>764</v>
      </c>
      <c r="C93" s="38" t="s">
        <v>397</v>
      </c>
      <c r="D93" s="45" t="s">
        <v>396</v>
      </c>
      <c r="E93" s="38" t="s">
        <v>33</v>
      </c>
      <c r="F93" s="36">
        <f>(3.15*2*2)*1.05</f>
        <v>13.23</v>
      </c>
      <c r="G93" s="40"/>
      <c r="H93" s="40"/>
    </row>
    <row r="94" spans="1:12" s="41" customFormat="1" ht="29.25">
      <c r="A94" s="37" t="s">
        <v>400</v>
      </c>
      <c r="B94" s="43" t="s">
        <v>764</v>
      </c>
      <c r="C94" s="38" t="s">
        <v>402</v>
      </c>
      <c r="D94" s="45" t="s">
        <v>401</v>
      </c>
      <c r="E94" s="38" t="s">
        <v>33</v>
      </c>
      <c r="F94" s="36">
        <f>F93</f>
        <v>13.23</v>
      </c>
      <c r="G94" s="40"/>
      <c r="H94" s="40"/>
    </row>
    <row r="95" spans="1:12">
      <c r="A95" s="12"/>
      <c r="B95" s="6"/>
      <c r="C95" s="6"/>
      <c r="D95" s="30" t="s">
        <v>49</v>
      </c>
      <c r="E95" s="6"/>
      <c r="F95" s="19"/>
      <c r="G95" s="16"/>
      <c r="H95" s="21"/>
      <c r="I95" s="23"/>
    </row>
    <row r="96" spans="1:12">
      <c r="A96" s="10">
        <v>9</v>
      </c>
      <c r="B96" s="13"/>
      <c r="C96" s="13"/>
      <c r="D96" s="10" t="s">
        <v>59</v>
      </c>
      <c r="E96" s="13"/>
      <c r="F96" s="13"/>
      <c r="G96" s="18"/>
      <c r="H96" s="17"/>
      <c r="I96" s="23"/>
    </row>
    <row r="97" spans="1:10" s="41" customFormat="1">
      <c r="A97" s="37" t="s">
        <v>22</v>
      </c>
      <c r="B97" s="43" t="s">
        <v>764</v>
      </c>
      <c r="C97" s="38" t="s">
        <v>253</v>
      </c>
      <c r="D97" s="45" t="s">
        <v>252</v>
      </c>
      <c r="E97" s="38" t="s">
        <v>34</v>
      </c>
      <c r="F97" s="36">
        <f>(1.7+1.25+3.5+3.15+1.11)*2*0.75*0.02</f>
        <v>0.32129999999999997</v>
      </c>
      <c r="G97" s="40"/>
      <c r="H97" s="40"/>
    </row>
    <row r="98" spans="1:10" s="41" customFormat="1" ht="15" customHeight="1">
      <c r="A98" s="37" t="s">
        <v>227</v>
      </c>
      <c r="B98" s="43" t="s">
        <v>764</v>
      </c>
      <c r="C98" s="38" t="s">
        <v>234</v>
      </c>
      <c r="D98" s="45" t="s">
        <v>233</v>
      </c>
      <c r="E98" s="38" t="s">
        <v>33</v>
      </c>
      <c r="F98" s="36">
        <f>(1.7+1.25+3.5+3.15+1.11)*2*0.75</f>
        <v>16.064999999999998</v>
      </c>
      <c r="G98" s="40"/>
      <c r="H98" s="40"/>
    </row>
    <row r="99" spans="1:10">
      <c r="A99" s="12"/>
      <c r="B99" s="6"/>
      <c r="C99" s="6"/>
      <c r="D99" s="31" t="s">
        <v>50</v>
      </c>
      <c r="E99" s="6"/>
      <c r="F99" s="19"/>
      <c r="G99" s="16"/>
      <c r="H99" s="21"/>
      <c r="I99" s="23"/>
    </row>
    <row r="100" spans="1:10">
      <c r="A100" s="10">
        <v>10</v>
      </c>
      <c r="B100" s="13"/>
      <c r="C100" s="13"/>
      <c r="D100" s="10" t="s">
        <v>63</v>
      </c>
      <c r="E100" s="13"/>
      <c r="F100" s="13"/>
      <c r="G100" s="18"/>
      <c r="H100" s="17"/>
      <c r="I100" s="23"/>
    </row>
    <row r="101" spans="1:10" s="41" customFormat="1">
      <c r="A101" s="37" t="s">
        <v>293</v>
      </c>
      <c r="B101" s="43" t="s">
        <v>764</v>
      </c>
      <c r="C101" s="38" t="s">
        <v>206</v>
      </c>
      <c r="D101" s="45" t="s">
        <v>338</v>
      </c>
      <c r="E101" s="38" t="s">
        <v>33</v>
      </c>
      <c r="F101" s="36">
        <f>1.2*0.6*2+(2*0.6*4)</f>
        <v>6.24</v>
      </c>
      <c r="G101" s="40"/>
      <c r="H101" s="40"/>
      <c r="I101" s="46"/>
      <c r="J101" s="46"/>
    </row>
    <row r="102" spans="1:10" s="41" customFormat="1">
      <c r="A102" s="37" t="s">
        <v>23</v>
      </c>
      <c r="B102" s="43" t="s">
        <v>764</v>
      </c>
      <c r="C102" s="38" t="s">
        <v>207</v>
      </c>
      <c r="D102" s="45" t="s">
        <v>339</v>
      </c>
      <c r="E102" s="38" t="s">
        <v>33</v>
      </c>
      <c r="F102" s="36">
        <f>F101</f>
        <v>6.24</v>
      </c>
      <c r="G102" s="40"/>
      <c r="H102" s="40"/>
    </row>
    <row r="103" spans="1:10" s="41" customFormat="1">
      <c r="A103" s="37" t="s">
        <v>60</v>
      </c>
      <c r="B103" s="43" t="s">
        <v>764</v>
      </c>
      <c r="C103" s="38" t="s">
        <v>341</v>
      </c>
      <c r="D103" s="45" t="s">
        <v>340</v>
      </c>
      <c r="E103" s="38" t="s">
        <v>33</v>
      </c>
      <c r="F103" s="36">
        <f>0.9*2.1*4</f>
        <v>7.5600000000000005</v>
      </c>
      <c r="G103" s="40"/>
      <c r="H103" s="40"/>
    </row>
    <row r="104" spans="1:10" s="41" customFormat="1">
      <c r="A104" s="37" t="s">
        <v>61</v>
      </c>
      <c r="B104" s="43" t="s">
        <v>764</v>
      </c>
      <c r="C104" s="38" t="s">
        <v>343</v>
      </c>
      <c r="D104" s="45" t="s">
        <v>342</v>
      </c>
      <c r="E104" s="38" t="s">
        <v>344</v>
      </c>
      <c r="F104" s="36">
        <v>4</v>
      </c>
      <c r="G104" s="40"/>
      <c r="H104" s="40"/>
      <c r="I104" s="46"/>
      <c r="J104" s="46"/>
    </row>
    <row r="105" spans="1:10" s="41" customFormat="1" ht="29.25">
      <c r="A105" s="49" t="s">
        <v>62</v>
      </c>
      <c r="B105" s="43" t="s">
        <v>764</v>
      </c>
      <c r="C105" s="57" t="s">
        <v>123</v>
      </c>
      <c r="D105" s="39" t="s">
        <v>124</v>
      </c>
      <c r="E105" s="57" t="s">
        <v>122</v>
      </c>
      <c r="F105" s="62">
        <f>7</f>
        <v>7</v>
      </c>
      <c r="G105" s="254"/>
      <c r="H105" s="254"/>
      <c r="I105" s="46"/>
    </row>
    <row r="106" spans="1:10">
      <c r="A106" s="12"/>
      <c r="B106" s="6"/>
      <c r="C106" s="6"/>
      <c r="D106" s="28" t="s">
        <v>51</v>
      </c>
      <c r="E106" s="6"/>
      <c r="F106" s="24"/>
      <c r="G106" s="16"/>
      <c r="H106" s="21"/>
      <c r="I106" s="23"/>
    </row>
    <row r="107" spans="1:10">
      <c r="A107" s="10">
        <v>11</v>
      </c>
      <c r="B107" s="13"/>
      <c r="C107" s="13"/>
      <c r="D107" s="10" t="s">
        <v>28</v>
      </c>
      <c r="E107" s="13"/>
      <c r="F107" s="13"/>
      <c r="G107" s="18"/>
      <c r="H107" s="17"/>
    </row>
    <row r="108" spans="1:10" s="41" customFormat="1">
      <c r="A108" s="37" t="s">
        <v>24</v>
      </c>
      <c r="B108" s="43" t="s">
        <v>764</v>
      </c>
      <c r="C108" s="38" t="s">
        <v>132</v>
      </c>
      <c r="D108" s="45" t="s">
        <v>345</v>
      </c>
      <c r="E108" s="38" t="s">
        <v>33</v>
      </c>
      <c r="F108" s="36">
        <f>((14.84*2*1)+(11.01*1*2)+(7.4*2*1)+(49.18))+((38.82*3.2)-13.23)</f>
        <v>226.67400000000001</v>
      </c>
      <c r="G108" s="40"/>
      <c r="H108" s="40"/>
      <c r="I108" s="46"/>
    </row>
    <row r="109" spans="1:10" s="41" customFormat="1">
      <c r="A109" s="37" t="s">
        <v>25</v>
      </c>
      <c r="B109" s="43" t="s">
        <v>764</v>
      </c>
      <c r="C109" s="38" t="s">
        <v>668</v>
      </c>
      <c r="D109" s="45" t="s">
        <v>669</v>
      </c>
      <c r="E109" s="38" t="s">
        <v>33</v>
      </c>
      <c r="F109" s="36">
        <f>((14.84*2*1)+(11.01*1*2)+(7.4*2*1)+(49.18))</f>
        <v>115.68</v>
      </c>
      <c r="G109" s="40"/>
      <c r="H109" s="40"/>
      <c r="I109" s="46"/>
    </row>
    <row r="110" spans="1:10" s="41" customFormat="1">
      <c r="A110" s="37" t="s">
        <v>41</v>
      </c>
      <c r="B110" s="43" t="s">
        <v>764</v>
      </c>
      <c r="C110" s="38" t="s">
        <v>210</v>
      </c>
      <c r="D110" s="45" t="s">
        <v>347</v>
      </c>
      <c r="E110" s="38" t="s">
        <v>33</v>
      </c>
      <c r="F110" s="36">
        <f>F86+(F80*0.2)</f>
        <v>33.901806000000001</v>
      </c>
      <c r="G110" s="40"/>
      <c r="H110" s="40"/>
      <c r="I110" s="58"/>
    </row>
    <row r="111" spans="1:10" s="41" customFormat="1">
      <c r="A111" s="37" t="s">
        <v>714</v>
      </c>
      <c r="B111" s="43" t="s">
        <v>764</v>
      </c>
      <c r="C111" s="38" t="s">
        <v>133</v>
      </c>
      <c r="D111" s="45" t="s">
        <v>346</v>
      </c>
      <c r="E111" s="38" t="s">
        <v>33</v>
      </c>
      <c r="F111" s="36">
        <f>F101+(F103*2)</f>
        <v>21.36</v>
      </c>
      <c r="G111" s="40"/>
      <c r="H111" s="40"/>
    </row>
    <row r="112" spans="1:10">
      <c r="A112" s="12"/>
      <c r="B112" s="6"/>
      <c r="C112" s="6"/>
      <c r="D112" s="28" t="s">
        <v>52</v>
      </c>
      <c r="E112" s="6"/>
      <c r="F112" s="24"/>
      <c r="G112" s="16"/>
      <c r="H112" s="21"/>
      <c r="I112" s="23"/>
    </row>
    <row r="113" spans="1:9">
      <c r="A113" s="10">
        <v>12</v>
      </c>
      <c r="B113" s="13"/>
      <c r="C113" s="13"/>
      <c r="D113" s="10" t="s">
        <v>67</v>
      </c>
      <c r="E113" s="13"/>
      <c r="F113" s="13"/>
      <c r="G113" s="18"/>
      <c r="H113" s="17"/>
      <c r="I113" s="23"/>
    </row>
    <row r="114" spans="1:9" s="41" customFormat="1" ht="29.25">
      <c r="A114" s="37" t="s">
        <v>26</v>
      </c>
      <c r="B114" s="43" t="s">
        <v>764</v>
      </c>
      <c r="C114" s="38" t="s">
        <v>405</v>
      </c>
      <c r="D114" s="45" t="s">
        <v>404</v>
      </c>
      <c r="E114" s="38" t="s">
        <v>33</v>
      </c>
      <c r="F114" s="36">
        <f>0.265*2</f>
        <v>0.53</v>
      </c>
      <c r="G114" s="40"/>
      <c r="H114" s="40"/>
    </row>
    <row r="115" spans="1:9" s="41" customFormat="1" ht="29.25">
      <c r="A115" s="37" t="s">
        <v>211</v>
      </c>
      <c r="B115" s="43" t="s">
        <v>764</v>
      </c>
      <c r="C115" s="38" t="s">
        <v>140</v>
      </c>
      <c r="D115" s="39" t="s">
        <v>141</v>
      </c>
      <c r="E115" s="38" t="s">
        <v>122</v>
      </c>
      <c r="F115" s="36">
        <v>2</v>
      </c>
      <c r="G115" s="40"/>
      <c r="H115" s="40"/>
    </row>
    <row r="116" spans="1:9" s="41" customFormat="1">
      <c r="A116" s="37" t="s">
        <v>212</v>
      </c>
      <c r="B116" s="43" t="s">
        <v>764</v>
      </c>
      <c r="C116" s="38" t="s">
        <v>174</v>
      </c>
      <c r="D116" s="39" t="s">
        <v>175</v>
      </c>
      <c r="E116" s="38" t="s">
        <v>122</v>
      </c>
      <c r="F116" s="36">
        <v>2</v>
      </c>
      <c r="G116" s="40"/>
      <c r="H116" s="40"/>
    </row>
    <row r="117" spans="1:9" s="41" customFormat="1" ht="29.25">
      <c r="A117" s="37" t="s">
        <v>358</v>
      </c>
      <c r="B117" s="43" t="s">
        <v>764</v>
      </c>
      <c r="C117" s="6" t="s">
        <v>239</v>
      </c>
      <c r="D117" s="27" t="s">
        <v>240</v>
      </c>
      <c r="E117" s="38" t="s">
        <v>122</v>
      </c>
      <c r="F117" s="36">
        <v>4</v>
      </c>
      <c r="G117" s="40"/>
      <c r="H117" s="40"/>
    </row>
    <row r="118" spans="1:9" s="41" customFormat="1" ht="29.25">
      <c r="A118" s="37" t="s">
        <v>359</v>
      </c>
      <c r="B118" s="43" t="s">
        <v>764</v>
      </c>
      <c r="C118" s="38" t="s">
        <v>357</v>
      </c>
      <c r="D118" s="39" t="s">
        <v>356</v>
      </c>
      <c r="E118" s="38" t="s">
        <v>759</v>
      </c>
      <c r="F118" s="36">
        <v>2</v>
      </c>
      <c r="G118" s="40"/>
      <c r="H118" s="40"/>
    </row>
    <row r="119" spans="1:9">
      <c r="A119" s="12"/>
      <c r="B119" s="6"/>
      <c r="C119" s="6"/>
      <c r="D119" s="28" t="s">
        <v>53</v>
      </c>
      <c r="E119" s="6"/>
      <c r="F119" s="19"/>
      <c r="G119" s="16"/>
      <c r="H119" s="21"/>
      <c r="I119" s="23"/>
    </row>
    <row r="120" spans="1:9">
      <c r="A120" s="10">
        <v>13</v>
      </c>
      <c r="B120" s="13"/>
      <c r="C120" s="13"/>
      <c r="D120" s="7" t="s">
        <v>196</v>
      </c>
      <c r="E120" s="13"/>
      <c r="F120" s="13"/>
      <c r="G120" s="18"/>
      <c r="H120" s="17"/>
      <c r="I120" s="23"/>
    </row>
    <row r="121" spans="1:9" s="41" customFormat="1">
      <c r="A121" s="37" t="s">
        <v>64</v>
      </c>
      <c r="B121" s="43" t="s">
        <v>764</v>
      </c>
      <c r="C121" s="38" t="s">
        <v>142</v>
      </c>
      <c r="D121" s="48" t="s">
        <v>143</v>
      </c>
      <c r="E121" s="38" t="s">
        <v>759</v>
      </c>
      <c r="F121" s="36">
        <v>8</v>
      </c>
      <c r="G121" s="40"/>
      <c r="H121" s="40"/>
      <c r="I121" s="46"/>
    </row>
    <row r="122" spans="1:9" s="41" customFormat="1">
      <c r="A122" s="37" t="s">
        <v>65</v>
      </c>
      <c r="B122" s="43" t="s">
        <v>764</v>
      </c>
      <c r="C122" s="38" t="s">
        <v>144</v>
      </c>
      <c r="D122" s="42" t="s">
        <v>145</v>
      </c>
      <c r="E122" s="38" t="s">
        <v>36</v>
      </c>
      <c r="F122" s="36">
        <f>(1+1.5+1.65+2+1.1+1.4+1.35+1.17)*2+(6.77+1.6+1.35+2+1.4+1.5)+(10*2.5)+6</f>
        <v>67.960000000000008</v>
      </c>
      <c r="G122" s="40"/>
      <c r="H122" s="40"/>
      <c r="I122" s="46"/>
    </row>
    <row r="123" spans="1:9" s="41" customFormat="1">
      <c r="A123" s="37" t="s">
        <v>134</v>
      </c>
      <c r="B123" s="43" t="s">
        <v>764</v>
      </c>
      <c r="C123" s="38" t="s">
        <v>146</v>
      </c>
      <c r="D123" s="42" t="s">
        <v>147</v>
      </c>
      <c r="E123" s="38" t="s">
        <v>122</v>
      </c>
      <c r="F123" s="36">
        <f>6+10</f>
        <v>16</v>
      </c>
      <c r="G123" s="40"/>
      <c r="H123" s="40"/>
      <c r="I123" s="46"/>
    </row>
    <row r="124" spans="1:9" s="41" customFormat="1" ht="29.25">
      <c r="A124" s="37" t="s">
        <v>135</v>
      </c>
      <c r="B124" s="43" t="s">
        <v>764</v>
      </c>
      <c r="C124" s="38" t="s">
        <v>246</v>
      </c>
      <c r="D124" s="42" t="s">
        <v>245</v>
      </c>
      <c r="E124" s="38" t="s">
        <v>36</v>
      </c>
      <c r="F124" s="36">
        <f>F122</f>
        <v>67.960000000000008</v>
      </c>
      <c r="G124" s="40"/>
      <c r="H124" s="40"/>
    </row>
    <row r="125" spans="1:9" s="41" customFormat="1" ht="29.25">
      <c r="A125" s="37" t="s">
        <v>136</v>
      </c>
      <c r="B125" s="43" t="s">
        <v>764</v>
      </c>
      <c r="C125" s="38" t="s">
        <v>148</v>
      </c>
      <c r="D125" s="42" t="s">
        <v>149</v>
      </c>
      <c r="E125" s="38" t="s">
        <v>36</v>
      </c>
      <c r="F125" s="36">
        <f>F122*3</f>
        <v>203.88000000000002</v>
      </c>
      <c r="G125" s="40"/>
      <c r="H125" s="40"/>
    </row>
    <row r="126" spans="1:9" s="41" customFormat="1">
      <c r="A126" s="37" t="s">
        <v>137</v>
      </c>
      <c r="B126" s="43" t="s">
        <v>764</v>
      </c>
      <c r="C126" s="38" t="s">
        <v>349</v>
      </c>
      <c r="D126" s="42" t="s">
        <v>348</v>
      </c>
      <c r="E126" s="43" t="s">
        <v>122</v>
      </c>
      <c r="F126" s="36">
        <v>4</v>
      </c>
      <c r="G126" s="40"/>
      <c r="H126" s="40"/>
    </row>
    <row r="127" spans="1:9" s="41" customFormat="1">
      <c r="A127" s="37" t="s">
        <v>138</v>
      </c>
      <c r="B127" s="43" t="s">
        <v>764</v>
      </c>
      <c r="C127" s="38" t="s">
        <v>150</v>
      </c>
      <c r="D127" s="42" t="s">
        <v>261</v>
      </c>
      <c r="E127" s="38" t="s">
        <v>122</v>
      </c>
      <c r="F127" s="36">
        <v>4</v>
      </c>
      <c r="G127" s="40"/>
      <c r="H127" s="40"/>
    </row>
    <row r="128" spans="1:9" s="41" customFormat="1">
      <c r="A128" s="37" t="s">
        <v>139</v>
      </c>
      <c r="B128" s="43" t="s">
        <v>764</v>
      </c>
      <c r="C128" s="38" t="s">
        <v>183</v>
      </c>
      <c r="D128" s="42" t="s">
        <v>184</v>
      </c>
      <c r="E128" s="38" t="s">
        <v>344</v>
      </c>
      <c r="F128" s="62">
        <v>4</v>
      </c>
      <c r="G128" s="40"/>
      <c r="H128" s="40"/>
    </row>
    <row r="129" spans="1:9" s="41" customFormat="1">
      <c r="A129" s="37" t="s">
        <v>176</v>
      </c>
      <c r="B129" s="43" t="s">
        <v>764</v>
      </c>
      <c r="C129" s="38" t="s">
        <v>353</v>
      </c>
      <c r="D129" s="42" t="s">
        <v>352</v>
      </c>
      <c r="E129" s="38" t="s">
        <v>759</v>
      </c>
      <c r="F129" s="62">
        <v>2</v>
      </c>
      <c r="G129" s="40"/>
      <c r="H129" s="40"/>
    </row>
    <row r="130" spans="1:9" s="41" customFormat="1" ht="29.25">
      <c r="A130" s="37" t="s">
        <v>177</v>
      </c>
      <c r="B130" s="43" t="s">
        <v>764</v>
      </c>
      <c r="C130" s="38" t="s">
        <v>208</v>
      </c>
      <c r="D130" s="42" t="s">
        <v>209</v>
      </c>
      <c r="E130" s="38" t="s">
        <v>122</v>
      </c>
      <c r="F130" s="36">
        <v>8</v>
      </c>
      <c r="G130" s="40"/>
      <c r="H130" s="40"/>
    </row>
    <row r="131" spans="1:9" s="41" customFormat="1">
      <c r="A131" s="37" t="s">
        <v>178</v>
      </c>
      <c r="B131" s="43" t="s">
        <v>764</v>
      </c>
      <c r="C131" s="38" t="s">
        <v>351</v>
      </c>
      <c r="D131" s="42" t="s">
        <v>350</v>
      </c>
      <c r="E131" s="38" t="s">
        <v>344</v>
      </c>
      <c r="F131" s="36">
        <v>2</v>
      </c>
      <c r="G131" s="40"/>
      <c r="H131" s="40"/>
    </row>
    <row r="132" spans="1:9" s="41" customFormat="1">
      <c r="A132" s="37" t="s">
        <v>244</v>
      </c>
      <c r="B132" s="43" t="s">
        <v>764</v>
      </c>
      <c r="C132" s="38" t="s">
        <v>255</v>
      </c>
      <c r="D132" s="42" t="s">
        <v>254</v>
      </c>
      <c r="E132" s="38" t="s">
        <v>122</v>
      </c>
      <c r="F132" s="36">
        <v>14</v>
      </c>
      <c r="G132" s="40"/>
      <c r="H132" s="40"/>
    </row>
    <row r="133" spans="1:9" s="41" customFormat="1" ht="29.25">
      <c r="A133" s="37" t="s">
        <v>260</v>
      </c>
      <c r="B133" s="43" t="s">
        <v>764</v>
      </c>
      <c r="C133" s="38" t="s">
        <v>259</v>
      </c>
      <c r="D133" s="42" t="s">
        <v>258</v>
      </c>
      <c r="E133" s="38" t="s">
        <v>122</v>
      </c>
      <c r="F133" s="36">
        <v>1</v>
      </c>
      <c r="G133" s="40"/>
      <c r="H133" s="40"/>
    </row>
    <row r="134" spans="1:9" s="41" customFormat="1">
      <c r="A134" s="37" t="s">
        <v>262</v>
      </c>
      <c r="B134" s="43" t="s">
        <v>764</v>
      </c>
      <c r="C134" s="38" t="s">
        <v>265</v>
      </c>
      <c r="D134" s="42" t="s">
        <v>264</v>
      </c>
      <c r="E134" s="38" t="s">
        <v>122</v>
      </c>
      <c r="F134" s="36">
        <v>1</v>
      </c>
      <c r="G134" s="40"/>
      <c r="H134" s="40"/>
    </row>
    <row r="135" spans="1:9" s="41" customFormat="1">
      <c r="A135" s="37" t="s">
        <v>263</v>
      </c>
      <c r="B135" s="43" t="s">
        <v>764</v>
      </c>
      <c r="C135" s="38" t="s">
        <v>268</v>
      </c>
      <c r="D135" s="42" t="s">
        <v>266</v>
      </c>
      <c r="E135" s="38" t="s">
        <v>122</v>
      </c>
      <c r="F135" s="36">
        <v>3</v>
      </c>
      <c r="G135" s="40"/>
      <c r="H135" s="40"/>
    </row>
    <row r="136" spans="1:9" s="41" customFormat="1">
      <c r="A136" s="37" t="s">
        <v>274</v>
      </c>
      <c r="B136" s="43" t="s">
        <v>764</v>
      </c>
      <c r="C136" s="38" t="s">
        <v>267</v>
      </c>
      <c r="D136" s="42" t="s">
        <v>283</v>
      </c>
      <c r="E136" s="38" t="s">
        <v>122</v>
      </c>
      <c r="F136" s="36">
        <v>3</v>
      </c>
      <c r="G136" s="40"/>
      <c r="H136" s="40"/>
    </row>
    <row r="137" spans="1:9" s="41" customFormat="1">
      <c r="A137" s="37" t="s">
        <v>275</v>
      </c>
      <c r="B137" s="43" t="s">
        <v>764</v>
      </c>
      <c r="C137" s="38" t="s">
        <v>270</v>
      </c>
      <c r="D137" s="42" t="s">
        <v>269</v>
      </c>
      <c r="E137" s="38" t="s">
        <v>122</v>
      </c>
      <c r="F137" s="36">
        <v>3</v>
      </c>
      <c r="G137" s="40"/>
      <c r="H137" s="40"/>
    </row>
    <row r="138" spans="1:9" s="41" customFormat="1">
      <c r="A138" s="37" t="s">
        <v>276</v>
      </c>
      <c r="B138" s="43" t="s">
        <v>764</v>
      </c>
      <c r="C138" s="38" t="s">
        <v>272</v>
      </c>
      <c r="D138" s="42" t="s">
        <v>271</v>
      </c>
      <c r="E138" s="38" t="s">
        <v>122</v>
      </c>
      <c r="F138" s="36">
        <v>3</v>
      </c>
      <c r="G138" s="40"/>
      <c r="H138" s="40"/>
    </row>
    <row r="139" spans="1:9" s="41" customFormat="1">
      <c r="A139" s="37" t="s">
        <v>277</v>
      </c>
      <c r="B139" s="43" t="s">
        <v>764</v>
      </c>
      <c r="C139" s="38" t="s">
        <v>273</v>
      </c>
      <c r="D139" s="42" t="s">
        <v>282</v>
      </c>
      <c r="E139" s="38" t="s">
        <v>36</v>
      </c>
      <c r="F139" s="36">
        <v>20</v>
      </c>
      <c r="G139" s="40"/>
      <c r="H139" s="40"/>
    </row>
    <row r="140" spans="1:9" s="41" customFormat="1">
      <c r="A140" s="37" t="s">
        <v>278</v>
      </c>
      <c r="B140" s="43" t="s">
        <v>764</v>
      </c>
      <c r="C140" s="38" t="s">
        <v>354</v>
      </c>
      <c r="D140" s="42" t="s">
        <v>355</v>
      </c>
      <c r="E140" s="38" t="s">
        <v>122</v>
      </c>
      <c r="F140" s="36">
        <v>4</v>
      </c>
      <c r="G140" s="40"/>
      <c r="H140" s="40"/>
    </row>
    <row r="141" spans="1:9" s="41" customFormat="1" ht="29.25">
      <c r="A141" s="37" t="s">
        <v>281</v>
      </c>
      <c r="B141" s="43" t="s">
        <v>764</v>
      </c>
      <c r="C141" s="38" t="s">
        <v>289</v>
      </c>
      <c r="D141" s="42" t="s">
        <v>290</v>
      </c>
      <c r="E141" s="38" t="s">
        <v>122</v>
      </c>
      <c r="F141" s="36">
        <v>6</v>
      </c>
      <c r="G141" s="40"/>
      <c r="H141" s="40"/>
    </row>
    <row r="142" spans="1:9">
      <c r="A142" s="12"/>
      <c r="B142" s="43"/>
      <c r="C142" s="6"/>
      <c r="D142" s="30" t="s">
        <v>66</v>
      </c>
      <c r="E142" s="6"/>
      <c r="F142" s="19"/>
      <c r="G142" s="16"/>
      <c r="H142" s="21"/>
      <c r="I142" s="23"/>
    </row>
    <row r="143" spans="1:9">
      <c r="A143" s="10">
        <v>14</v>
      </c>
      <c r="B143" s="13"/>
      <c r="C143" s="13"/>
      <c r="D143" s="7" t="s">
        <v>76</v>
      </c>
      <c r="E143" s="13"/>
      <c r="F143" s="13"/>
      <c r="G143" s="18"/>
      <c r="H143" s="17"/>
    </row>
    <row r="144" spans="1:9" s="41" customFormat="1" ht="29.25">
      <c r="A144" s="37" t="s">
        <v>68</v>
      </c>
      <c r="B144" s="43" t="s">
        <v>764</v>
      </c>
      <c r="C144" s="38" t="s">
        <v>152</v>
      </c>
      <c r="D144" s="39" t="s">
        <v>153</v>
      </c>
      <c r="E144" s="38" t="s">
        <v>36</v>
      </c>
      <c r="F144" s="36">
        <f>7.41+4.59+3.58+4.46+2.65+3.58+1.11+1.24+2+4.58+4.75+6.02+1.68+3.47+(1.64*3)+(0.86*5)</f>
        <v>60.339999999999996</v>
      </c>
      <c r="G144" s="40"/>
      <c r="H144" s="40"/>
    </row>
    <row r="145" spans="1:9" s="41" customFormat="1" ht="29.25">
      <c r="A145" s="37" t="s">
        <v>69</v>
      </c>
      <c r="B145" s="43" t="s">
        <v>764</v>
      </c>
      <c r="C145" s="38" t="s">
        <v>154</v>
      </c>
      <c r="D145" s="39" t="s">
        <v>155</v>
      </c>
      <c r="E145" s="38" t="s">
        <v>36</v>
      </c>
      <c r="F145" s="36">
        <f>2.07+2.07+0.7+0.7+2.2+0.8+0.8+2.66</f>
        <v>12.000000000000002</v>
      </c>
      <c r="G145" s="40"/>
      <c r="H145" s="40"/>
      <c r="I145" s="47"/>
    </row>
    <row r="146" spans="1:9" s="41" customFormat="1" ht="29.25">
      <c r="A146" s="37" t="s">
        <v>70</v>
      </c>
      <c r="B146" s="43" t="s">
        <v>764</v>
      </c>
      <c r="C146" s="38" t="s">
        <v>156</v>
      </c>
      <c r="D146" s="39" t="s">
        <v>157</v>
      </c>
      <c r="E146" s="38" t="s">
        <v>36</v>
      </c>
      <c r="F146" s="36">
        <f>1.5+1.5+2.2+2.2+2.4+2.4+3.8+1.5+1.5+6</f>
        <v>25</v>
      </c>
      <c r="G146" s="40"/>
      <c r="H146" s="40"/>
    </row>
    <row r="147" spans="1:9" s="41" customFormat="1">
      <c r="A147" s="37" t="s">
        <v>360</v>
      </c>
      <c r="B147" s="43" t="s">
        <v>764</v>
      </c>
      <c r="C147" s="38" t="s">
        <v>158</v>
      </c>
      <c r="D147" s="39" t="s">
        <v>159</v>
      </c>
      <c r="E147" s="38" t="s">
        <v>122</v>
      </c>
      <c r="F147" s="36">
        <v>4</v>
      </c>
      <c r="G147" s="40"/>
      <c r="H147" s="40"/>
      <c r="I147" s="47"/>
    </row>
    <row r="148" spans="1:9" s="41" customFormat="1">
      <c r="A148" s="37" t="s">
        <v>361</v>
      </c>
      <c r="B148" s="43" t="s">
        <v>764</v>
      </c>
      <c r="C148" s="38" t="s">
        <v>621</v>
      </c>
      <c r="D148" s="39" t="s">
        <v>620</v>
      </c>
      <c r="E148" s="38" t="s">
        <v>122</v>
      </c>
      <c r="F148" s="36">
        <v>4</v>
      </c>
      <c r="G148" s="40"/>
      <c r="H148" s="40"/>
    </row>
    <row r="149" spans="1:9" s="41" customFormat="1">
      <c r="A149" s="37" t="s">
        <v>362</v>
      </c>
      <c r="B149" s="43" t="s">
        <v>764</v>
      </c>
      <c r="C149" s="38" t="s">
        <v>160</v>
      </c>
      <c r="D149" s="39" t="s">
        <v>161</v>
      </c>
      <c r="E149" s="38" t="s">
        <v>36</v>
      </c>
      <c r="F149" s="36">
        <f>(7*2.5)+((1.88+1.88+12))+8*2</f>
        <v>49.26</v>
      </c>
      <c r="G149" s="40"/>
      <c r="H149" s="40"/>
      <c r="I149" s="47"/>
    </row>
    <row r="150" spans="1:9" s="41" customFormat="1">
      <c r="A150" s="37" t="s">
        <v>363</v>
      </c>
      <c r="B150" s="43" t="s">
        <v>764</v>
      </c>
      <c r="C150" s="38" t="s">
        <v>162</v>
      </c>
      <c r="D150" s="39" t="s">
        <v>163</v>
      </c>
      <c r="E150" s="38" t="s">
        <v>36</v>
      </c>
      <c r="F150" s="36">
        <f>9*2.8</f>
        <v>25.2</v>
      </c>
      <c r="G150" s="40"/>
      <c r="H150" s="40"/>
    </row>
    <row r="151" spans="1:9" s="41" customFormat="1">
      <c r="A151" s="37" t="s">
        <v>364</v>
      </c>
      <c r="B151" s="43" t="s">
        <v>764</v>
      </c>
      <c r="C151" s="38" t="s">
        <v>187</v>
      </c>
      <c r="D151" s="39" t="s">
        <v>188</v>
      </c>
      <c r="E151" s="38" t="s">
        <v>36</v>
      </c>
      <c r="F151" s="36">
        <f>12</f>
        <v>12</v>
      </c>
      <c r="G151" s="40"/>
      <c r="H151" s="40"/>
    </row>
    <row r="152" spans="1:9" s="41" customFormat="1">
      <c r="A152" s="37" t="s">
        <v>365</v>
      </c>
      <c r="B152" s="43" t="s">
        <v>764</v>
      </c>
      <c r="C152" s="6" t="s">
        <v>394</v>
      </c>
      <c r="D152" s="2" t="s">
        <v>395</v>
      </c>
      <c r="E152" s="6" t="s">
        <v>122</v>
      </c>
      <c r="F152" s="74">
        <v>3</v>
      </c>
      <c r="G152" s="16"/>
      <c r="H152" s="40"/>
    </row>
    <row r="153" spans="1:9">
      <c r="A153" s="12"/>
      <c r="B153" s="43"/>
      <c r="C153" s="6"/>
      <c r="D153" s="30" t="s">
        <v>391</v>
      </c>
      <c r="E153" s="6"/>
      <c r="F153" s="19"/>
      <c r="G153" s="16"/>
      <c r="H153" s="21"/>
      <c r="I153" s="23"/>
    </row>
    <row r="154" spans="1:9">
      <c r="A154" s="10">
        <v>15</v>
      </c>
      <c r="B154" s="13"/>
      <c r="C154" s="13"/>
      <c r="D154" s="7" t="s">
        <v>125</v>
      </c>
      <c r="E154" s="13"/>
      <c r="F154" s="13"/>
      <c r="G154" s="18"/>
      <c r="H154" s="17"/>
    </row>
    <row r="155" spans="1:9" ht="29.25">
      <c r="A155" s="12" t="s">
        <v>71</v>
      </c>
      <c r="B155" s="43" t="s">
        <v>764</v>
      </c>
      <c r="C155" s="6" t="s">
        <v>126</v>
      </c>
      <c r="D155" s="26" t="s">
        <v>127</v>
      </c>
      <c r="E155" s="6" t="s">
        <v>36</v>
      </c>
      <c r="F155" s="19">
        <f>2*0.9</f>
        <v>1.8</v>
      </c>
      <c r="G155" s="16"/>
      <c r="H155" s="16"/>
    </row>
    <row r="156" spans="1:9" ht="29.25">
      <c r="A156" s="12" t="s">
        <v>72</v>
      </c>
      <c r="B156" s="43" t="s">
        <v>764</v>
      </c>
      <c r="C156" s="6" t="s">
        <v>128</v>
      </c>
      <c r="D156" s="26" t="s">
        <v>129</v>
      </c>
      <c r="E156" s="6" t="s">
        <v>122</v>
      </c>
      <c r="F156" s="19">
        <v>6</v>
      </c>
      <c r="G156" s="16"/>
      <c r="H156" s="16"/>
      <c r="I156" s="32"/>
    </row>
    <row r="157" spans="1:9" s="41" customFormat="1" ht="29.25">
      <c r="A157" s="12" t="s">
        <v>73</v>
      </c>
      <c r="B157" s="43" t="s">
        <v>764</v>
      </c>
      <c r="C157" s="38" t="s">
        <v>130</v>
      </c>
      <c r="D157" s="39" t="s">
        <v>131</v>
      </c>
      <c r="E157" s="38" t="s">
        <v>122</v>
      </c>
      <c r="F157" s="36">
        <v>8</v>
      </c>
      <c r="G157" s="40"/>
      <c r="H157" s="16"/>
    </row>
    <row r="158" spans="1:9">
      <c r="A158" s="12" t="s">
        <v>74</v>
      </c>
      <c r="B158" s="43" t="s">
        <v>764</v>
      </c>
      <c r="C158" s="6" t="s">
        <v>164</v>
      </c>
      <c r="D158" s="26" t="s">
        <v>165</v>
      </c>
      <c r="E158" s="6" t="s">
        <v>122</v>
      </c>
      <c r="F158" s="19">
        <v>2</v>
      </c>
      <c r="G158" s="16"/>
      <c r="H158" s="16"/>
    </row>
    <row r="159" spans="1:9">
      <c r="A159" s="12" t="s">
        <v>75</v>
      </c>
      <c r="B159" s="43" t="s">
        <v>764</v>
      </c>
      <c r="C159" s="6" t="s">
        <v>726</v>
      </c>
      <c r="D159" s="26" t="s">
        <v>725</v>
      </c>
      <c r="E159" s="6" t="s">
        <v>122</v>
      </c>
      <c r="F159" s="19">
        <v>2</v>
      </c>
      <c r="G159" s="16"/>
      <c r="H159" s="16"/>
    </row>
    <row r="160" spans="1:9" s="41" customFormat="1" ht="29.25">
      <c r="A160" s="12" t="s">
        <v>151</v>
      </c>
      <c r="B160" s="43" t="s">
        <v>764</v>
      </c>
      <c r="C160" s="63" t="s">
        <v>256</v>
      </c>
      <c r="D160" s="39" t="s">
        <v>257</v>
      </c>
      <c r="E160" s="38" t="s">
        <v>122</v>
      </c>
      <c r="F160" s="36">
        <v>2</v>
      </c>
      <c r="G160" s="40"/>
      <c r="H160" s="16"/>
    </row>
    <row r="161" spans="1:8">
      <c r="A161" s="12" t="s">
        <v>213</v>
      </c>
      <c r="B161" s="43" t="s">
        <v>764</v>
      </c>
      <c r="C161" s="6" t="s">
        <v>166</v>
      </c>
      <c r="D161" s="26" t="s">
        <v>167</v>
      </c>
      <c r="E161" s="6" t="s">
        <v>122</v>
      </c>
      <c r="F161" s="19">
        <v>9</v>
      </c>
      <c r="G161" s="16"/>
      <c r="H161" s="16"/>
    </row>
    <row r="162" spans="1:8">
      <c r="A162" s="12" t="s">
        <v>214</v>
      </c>
      <c r="B162" s="43" t="s">
        <v>764</v>
      </c>
      <c r="C162" s="6" t="s">
        <v>168</v>
      </c>
      <c r="D162" s="26" t="s">
        <v>169</v>
      </c>
      <c r="E162" s="6" t="s">
        <v>122</v>
      </c>
      <c r="F162" s="19">
        <v>9</v>
      </c>
      <c r="G162" s="16"/>
      <c r="H162" s="16"/>
    </row>
    <row r="163" spans="1:8">
      <c r="A163" s="12" t="s">
        <v>215</v>
      </c>
      <c r="B163" s="43" t="s">
        <v>764</v>
      </c>
      <c r="C163" s="6" t="s">
        <v>185</v>
      </c>
      <c r="D163" s="34" t="s">
        <v>186</v>
      </c>
      <c r="E163" s="6" t="s">
        <v>122</v>
      </c>
      <c r="F163" s="19">
        <v>2</v>
      </c>
      <c r="G163" s="16"/>
      <c r="H163" s="16"/>
    </row>
    <row r="164" spans="1:8">
      <c r="A164" s="12" t="s">
        <v>216</v>
      </c>
      <c r="B164" s="43" t="s">
        <v>764</v>
      </c>
      <c r="C164" s="68" t="s">
        <v>238</v>
      </c>
      <c r="D164" s="2" t="s">
        <v>237</v>
      </c>
      <c r="E164" s="6" t="s">
        <v>122</v>
      </c>
      <c r="F164" s="19">
        <v>9</v>
      </c>
      <c r="G164" s="16"/>
      <c r="H164" s="16"/>
    </row>
    <row r="165" spans="1:8" ht="29.25">
      <c r="A165" s="12" t="s">
        <v>217</v>
      </c>
      <c r="B165" s="43" t="s">
        <v>764</v>
      </c>
      <c r="C165" s="63" t="s">
        <v>285</v>
      </c>
      <c r="D165" s="39" t="s">
        <v>284</v>
      </c>
      <c r="E165" s="38" t="s">
        <v>122</v>
      </c>
      <c r="F165" s="36">
        <v>4</v>
      </c>
      <c r="G165" s="16"/>
      <c r="H165" s="16"/>
    </row>
    <row r="166" spans="1:8">
      <c r="A166" s="12" t="s">
        <v>288</v>
      </c>
      <c r="B166" s="43" t="s">
        <v>764</v>
      </c>
      <c r="C166" s="6" t="s">
        <v>189</v>
      </c>
      <c r="D166" s="26" t="s">
        <v>190</v>
      </c>
      <c r="E166" s="6" t="s">
        <v>122</v>
      </c>
      <c r="F166" s="19">
        <v>1</v>
      </c>
      <c r="G166" s="16"/>
      <c r="H166" s="16"/>
    </row>
    <row r="167" spans="1:8">
      <c r="A167" s="12" t="s">
        <v>370</v>
      </c>
      <c r="B167" s="43" t="s">
        <v>764</v>
      </c>
      <c r="C167" s="6" t="s">
        <v>170</v>
      </c>
      <c r="D167" s="26" t="s">
        <v>171</v>
      </c>
      <c r="E167" s="6" t="s">
        <v>122</v>
      </c>
      <c r="F167" s="19">
        <v>1</v>
      </c>
      <c r="G167" s="16"/>
      <c r="H167" s="16"/>
    </row>
    <row r="168" spans="1:8">
      <c r="A168" s="12" t="s">
        <v>371</v>
      </c>
      <c r="B168" s="43" t="s">
        <v>764</v>
      </c>
      <c r="C168" s="6" t="s">
        <v>229</v>
      </c>
      <c r="D168" s="26" t="s">
        <v>230</v>
      </c>
      <c r="E168" s="6" t="s">
        <v>122</v>
      </c>
      <c r="F168" s="36">
        <v>2</v>
      </c>
      <c r="G168" s="16"/>
      <c r="H168" s="16"/>
    </row>
    <row r="169" spans="1:8" ht="29.25">
      <c r="A169" s="12" t="s">
        <v>372</v>
      </c>
      <c r="B169" s="43" t="s">
        <v>764</v>
      </c>
      <c r="C169" s="44" t="s">
        <v>382</v>
      </c>
      <c r="D169" s="27" t="s">
        <v>381</v>
      </c>
      <c r="E169" s="6" t="s">
        <v>122</v>
      </c>
      <c r="F169" s="36">
        <v>8</v>
      </c>
      <c r="G169" s="16"/>
      <c r="H169" s="16"/>
    </row>
    <row r="170" spans="1:8" s="41" customFormat="1">
      <c r="A170" s="12" t="s">
        <v>373</v>
      </c>
      <c r="B170" s="43" t="s">
        <v>764</v>
      </c>
      <c r="C170" s="38" t="s">
        <v>236</v>
      </c>
      <c r="D170" s="39" t="s">
        <v>235</v>
      </c>
      <c r="E170" s="38" t="s">
        <v>33</v>
      </c>
      <c r="F170" s="36">
        <f>0.5</f>
        <v>0.5</v>
      </c>
      <c r="G170" s="40"/>
      <c r="H170" s="16"/>
    </row>
    <row r="171" spans="1:8" s="41" customFormat="1">
      <c r="A171" s="12" t="s">
        <v>374</v>
      </c>
      <c r="B171" s="43" t="s">
        <v>764</v>
      </c>
      <c r="C171" s="38" t="s">
        <v>369</v>
      </c>
      <c r="D171" s="39" t="s">
        <v>366</v>
      </c>
      <c r="E171" s="38" t="s">
        <v>122</v>
      </c>
      <c r="F171" s="36">
        <v>8</v>
      </c>
      <c r="G171" s="40"/>
      <c r="H171" s="16"/>
    </row>
    <row r="172" spans="1:8" s="41" customFormat="1" ht="29.25">
      <c r="A172" s="12" t="s">
        <v>375</v>
      </c>
      <c r="B172" s="43" t="s">
        <v>764</v>
      </c>
      <c r="C172" s="38" t="s">
        <v>367</v>
      </c>
      <c r="D172" s="39" t="s">
        <v>368</v>
      </c>
      <c r="E172" s="38" t="s">
        <v>122</v>
      </c>
      <c r="F172" s="33">
        <v>10</v>
      </c>
      <c r="G172" s="40"/>
      <c r="H172" s="16"/>
    </row>
    <row r="173" spans="1:8" s="41" customFormat="1" ht="29.25">
      <c r="A173" s="12" t="s">
        <v>376</v>
      </c>
      <c r="B173" s="43" t="s">
        <v>764</v>
      </c>
      <c r="C173" s="63" t="s">
        <v>287</v>
      </c>
      <c r="D173" s="39" t="s">
        <v>286</v>
      </c>
      <c r="E173" s="38" t="s">
        <v>122</v>
      </c>
      <c r="F173" s="36">
        <v>2</v>
      </c>
      <c r="G173" s="40"/>
      <c r="H173" s="16"/>
    </row>
    <row r="174" spans="1:8" s="41" customFormat="1">
      <c r="A174" s="12" t="s">
        <v>377</v>
      </c>
      <c r="B174" s="43" t="s">
        <v>764</v>
      </c>
      <c r="C174" s="63" t="s">
        <v>291</v>
      </c>
      <c r="D174" s="39" t="s">
        <v>292</v>
      </c>
      <c r="E174" s="38" t="s">
        <v>122</v>
      </c>
      <c r="F174" s="36">
        <v>10</v>
      </c>
      <c r="G174" s="40"/>
      <c r="H174" s="16"/>
    </row>
    <row r="175" spans="1:8" s="41" customFormat="1">
      <c r="A175" s="12" t="s">
        <v>378</v>
      </c>
      <c r="B175" s="43" t="s">
        <v>764</v>
      </c>
      <c r="C175" s="63" t="s">
        <v>295</v>
      </c>
      <c r="D175" s="39" t="s">
        <v>294</v>
      </c>
      <c r="E175" s="38" t="s">
        <v>33</v>
      </c>
      <c r="F175" s="36">
        <f>2.4*0.8*2+1.25*0.8*2</f>
        <v>5.84</v>
      </c>
      <c r="G175" s="40"/>
      <c r="H175" s="16"/>
    </row>
    <row r="176" spans="1:8" s="41" customFormat="1" ht="29.25">
      <c r="A176" s="12" t="s">
        <v>379</v>
      </c>
      <c r="B176" s="43" t="s">
        <v>764</v>
      </c>
      <c r="C176" s="63" t="s">
        <v>297</v>
      </c>
      <c r="D176" s="39" t="s">
        <v>296</v>
      </c>
      <c r="E176" s="38" t="s">
        <v>122</v>
      </c>
      <c r="F176" s="36">
        <v>6</v>
      </c>
      <c r="G176" s="40"/>
      <c r="H176" s="16"/>
    </row>
    <row r="177" spans="1:9" s="41" customFormat="1" ht="29.25">
      <c r="A177" s="12" t="s">
        <v>380</v>
      </c>
      <c r="B177" s="43" t="s">
        <v>764</v>
      </c>
      <c r="C177" s="63" t="s">
        <v>298</v>
      </c>
      <c r="D177" s="39" t="s">
        <v>299</v>
      </c>
      <c r="E177" s="38" t="s">
        <v>122</v>
      </c>
      <c r="F177" s="36">
        <v>6</v>
      </c>
      <c r="G177" s="40"/>
      <c r="H177" s="16"/>
    </row>
    <row r="178" spans="1:9" s="41" customFormat="1" ht="29.25">
      <c r="A178" s="12" t="s">
        <v>729</v>
      </c>
      <c r="B178" s="43" t="s">
        <v>764</v>
      </c>
      <c r="C178" s="63" t="s">
        <v>728</v>
      </c>
      <c r="D178" s="39" t="s">
        <v>727</v>
      </c>
      <c r="E178" s="38" t="s">
        <v>122</v>
      </c>
      <c r="F178" s="36">
        <v>2</v>
      </c>
      <c r="G178" s="40"/>
      <c r="H178" s="16"/>
    </row>
    <row r="179" spans="1:9" s="41" customFormat="1" ht="32.25" customHeight="1">
      <c r="A179" s="37" t="s">
        <v>731</v>
      </c>
      <c r="B179" s="43" t="s">
        <v>764</v>
      </c>
      <c r="C179" s="63" t="s">
        <v>736</v>
      </c>
      <c r="D179" s="39" t="s">
        <v>735</v>
      </c>
      <c r="E179" s="38" t="s">
        <v>122</v>
      </c>
      <c r="F179" s="36">
        <v>2</v>
      </c>
      <c r="G179" s="40"/>
      <c r="H179" s="40"/>
    </row>
    <row r="180" spans="1:9" s="41" customFormat="1" ht="32.25" customHeight="1">
      <c r="A180" s="37" t="s">
        <v>732</v>
      </c>
      <c r="B180" s="139" t="s">
        <v>737</v>
      </c>
      <c r="C180" s="263">
        <v>100875</v>
      </c>
      <c r="D180" s="39" t="s">
        <v>730</v>
      </c>
      <c r="E180" s="38" t="s">
        <v>122</v>
      </c>
      <c r="F180" s="36">
        <v>2</v>
      </c>
      <c r="G180" s="40"/>
      <c r="H180" s="40"/>
    </row>
    <row r="181" spans="1:9">
      <c r="A181" s="12"/>
      <c r="B181" s="6"/>
      <c r="C181" s="6"/>
      <c r="D181" s="30" t="s">
        <v>77</v>
      </c>
      <c r="E181" s="6"/>
      <c r="F181" s="19"/>
      <c r="G181" s="16"/>
      <c r="H181" s="21"/>
      <c r="I181" s="23"/>
    </row>
    <row r="182" spans="1:9">
      <c r="A182" s="12"/>
      <c r="B182" s="6"/>
      <c r="C182" s="6"/>
      <c r="D182" s="30"/>
      <c r="E182" s="6"/>
      <c r="F182" s="19"/>
      <c r="G182" s="16"/>
      <c r="H182" s="21"/>
    </row>
    <row r="183" spans="1:9">
      <c r="A183" s="10">
        <v>16</v>
      </c>
      <c r="B183" s="13"/>
      <c r="C183" s="13"/>
      <c r="D183" s="7" t="s">
        <v>439</v>
      </c>
      <c r="E183" s="13"/>
      <c r="F183" s="13"/>
      <c r="G183" s="18"/>
      <c r="H183" s="18"/>
    </row>
    <row r="184" spans="1:9">
      <c r="A184" s="37" t="s">
        <v>79</v>
      </c>
      <c r="B184" s="43" t="s">
        <v>764</v>
      </c>
      <c r="C184" s="38" t="s">
        <v>96</v>
      </c>
      <c r="D184" s="45" t="s">
        <v>390</v>
      </c>
      <c r="E184" s="38" t="s">
        <v>34</v>
      </c>
      <c r="F184" s="36">
        <f>45.16*0.05</f>
        <v>2.258</v>
      </c>
      <c r="G184" s="40"/>
      <c r="H184" s="40"/>
    </row>
    <row r="185" spans="1:9" ht="29.25">
      <c r="A185" s="37" t="s">
        <v>80</v>
      </c>
      <c r="B185" s="43" t="s">
        <v>764</v>
      </c>
      <c r="C185" s="38" t="s">
        <v>39</v>
      </c>
      <c r="D185" s="45" t="s">
        <v>755</v>
      </c>
      <c r="E185" s="38" t="s">
        <v>34</v>
      </c>
      <c r="F185" s="36">
        <f>F184</f>
        <v>2.258</v>
      </c>
      <c r="G185" s="40"/>
      <c r="H185" s="40"/>
    </row>
    <row r="186" spans="1:9">
      <c r="A186" s="37" t="s">
        <v>633</v>
      </c>
      <c r="B186" s="43" t="s">
        <v>764</v>
      </c>
      <c r="C186" s="63" t="s">
        <v>384</v>
      </c>
      <c r="D186" s="39" t="s">
        <v>383</v>
      </c>
      <c r="E186" s="38" t="s">
        <v>33</v>
      </c>
      <c r="F186" s="36">
        <v>45.16</v>
      </c>
      <c r="G186" s="40"/>
      <c r="H186" s="40"/>
    </row>
    <row r="187" spans="1:9">
      <c r="A187" s="37" t="s">
        <v>757</v>
      </c>
      <c r="B187" s="43" t="s">
        <v>764</v>
      </c>
      <c r="C187" s="38" t="s">
        <v>388</v>
      </c>
      <c r="D187" s="45" t="s">
        <v>387</v>
      </c>
      <c r="E187" s="38" t="s">
        <v>34</v>
      </c>
      <c r="F187" s="36">
        <f>45.16*0.15</f>
        <v>6.7739999999999991</v>
      </c>
      <c r="G187" s="40"/>
      <c r="H187" s="40"/>
    </row>
    <row r="188" spans="1:9">
      <c r="A188" s="12"/>
      <c r="B188" s="6"/>
      <c r="C188" s="6"/>
      <c r="D188" s="30" t="s">
        <v>78</v>
      </c>
      <c r="E188" s="6"/>
      <c r="F188" s="19"/>
      <c r="G188" s="16"/>
      <c r="H188" s="21"/>
      <c r="I188" s="23"/>
    </row>
    <row r="189" spans="1:9">
      <c r="A189" s="10">
        <v>17</v>
      </c>
      <c r="B189" s="13"/>
      <c r="C189" s="13"/>
      <c r="D189" s="7" t="s">
        <v>29</v>
      </c>
      <c r="E189" s="13"/>
      <c r="F189" s="13"/>
      <c r="G189" s="18"/>
      <c r="H189" s="18"/>
      <c r="I189" s="23"/>
    </row>
    <row r="190" spans="1:9">
      <c r="A190" s="12" t="s">
        <v>81</v>
      </c>
      <c r="B190" s="43" t="s">
        <v>764</v>
      </c>
      <c r="C190" s="6" t="s">
        <v>172</v>
      </c>
      <c r="D190" s="2" t="s">
        <v>173</v>
      </c>
      <c r="E190" s="6" t="s">
        <v>33</v>
      </c>
      <c r="F190" s="19">
        <v>58.51</v>
      </c>
      <c r="G190" s="16"/>
      <c r="H190" s="16"/>
      <c r="I190" s="23"/>
    </row>
    <row r="191" spans="1:9">
      <c r="A191" s="12"/>
      <c r="B191" s="43"/>
      <c r="C191" s="6"/>
      <c r="D191" s="2"/>
      <c r="E191" s="6"/>
      <c r="F191" s="19"/>
      <c r="G191" s="16"/>
      <c r="H191" s="16"/>
    </row>
    <row r="192" spans="1:9">
      <c r="A192" s="12"/>
      <c r="B192" s="6"/>
      <c r="C192" s="6"/>
      <c r="D192" s="29" t="s">
        <v>82</v>
      </c>
      <c r="E192" s="6"/>
      <c r="F192" s="19"/>
      <c r="G192" s="16"/>
      <c r="H192" s="21"/>
      <c r="I192" s="23"/>
    </row>
    <row r="193" spans="1:13">
      <c r="A193" s="12"/>
      <c r="B193" s="6"/>
      <c r="C193" s="6"/>
      <c r="D193" s="29"/>
      <c r="E193" s="6"/>
      <c r="F193" s="19"/>
      <c r="G193" s="16"/>
      <c r="H193" s="21"/>
    </row>
    <row r="194" spans="1:13">
      <c r="A194" s="12"/>
      <c r="B194" s="6"/>
      <c r="C194" s="6"/>
      <c r="D194" s="29" t="s">
        <v>389</v>
      </c>
      <c r="E194" s="6"/>
      <c r="F194" s="19"/>
      <c r="G194" s="16"/>
      <c r="H194" s="21"/>
      <c r="I194" s="23"/>
      <c r="J194" s="23"/>
    </row>
    <row r="195" spans="1:13">
      <c r="A195" s="10" t="s">
        <v>463</v>
      </c>
      <c r="B195" s="13"/>
      <c r="C195" s="13"/>
      <c r="D195" s="7" t="s">
        <v>484</v>
      </c>
      <c r="E195" s="13"/>
      <c r="F195" s="13"/>
      <c r="G195" s="18"/>
      <c r="H195" s="18"/>
      <c r="I195" s="23"/>
    </row>
    <row r="196" spans="1:13">
      <c r="A196" s="10">
        <v>1</v>
      </c>
      <c r="B196" s="13"/>
      <c r="C196" s="13"/>
      <c r="D196" s="7" t="s">
        <v>501</v>
      </c>
      <c r="E196" s="13"/>
      <c r="F196" s="13"/>
      <c r="G196" s="18"/>
      <c r="H196" s="18"/>
      <c r="I196" s="25"/>
    </row>
    <row r="197" spans="1:13">
      <c r="A197" s="2" t="s">
        <v>8</v>
      </c>
      <c r="B197" s="43" t="s">
        <v>764</v>
      </c>
      <c r="C197" s="139" t="s">
        <v>489</v>
      </c>
      <c r="D197" s="140" t="s">
        <v>486</v>
      </c>
      <c r="E197" s="139" t="s">
        <v>487</v>
      </c>
      <c r="F197" s="141">
        <v>882.72</v>
      </c>
      <c r="G197" s="142"/>
      <c r="H197" s="142"/>
    </row>
    <row r="198" spans="1:13">
      <c r="A198" s="2" t="s">
        <v>112</v>
      </c>
      <c r="B198" s="43" t="s">
        <v>764</v>
      </c>
      <c r="C198" s="139" t="s">
        <v>490</v>
      </c>
      <c r="D198" s="140" t="s">
        <v>488</v>
      </c>
      <c r="E198" s="139" t="s">
        <v>487</v>
      </c>
      <c r="F198" s="141">
        <v>91.07</v>
      </c>
      <c r="G198" s="142"/>
      <c r="H198" s="142"/>
    </row>
    <row r="199" spans="1:13">
      <c r="A199" s="2"/>
      <c r="B199" s="2"/>
      <c r="C199" s="2"/>
      <c r="D199" s="29" t="s">
        <v>42</v>
      </c>
      <c r="E199" s="2"/>
      <c r="F199" s="2"/>
      <c r="G199" s="2"/>
      <c r="H199" s="144"/>
      <c r="I199" s="23"/>
      <c r="M199" s="35"/>
    </row>
    <row r="200" spans="1:13">
      <c r="A200" s="138"/>
      <c r="B200" s="138"/>
      <c r="C200" s="138"/>
      <c r="D200" s="138"/>
      <c r="E200" s="138"/>
      <c r="F200" s="138"/>
      <c r="G200" s="138"/>
      <c r="H200" s="138"/>
      <c r="M200" s="23"/>
    </row>
    <row r="201" spans="1:13">
      <c r="A201" s="10">
        <v>2</v>
      </c>
      <c r="B201" s="13"/>
      <c r="C201" s="13"/>
      <c r="D201" s="7" t="s">
        <v>491</v>
      </c>
      <c r="E201" s="13"/>
      <c r="F201" s="13"/>
      <c r="G201" s="18"/>
      <c r="H201" s="18"/>
    </row>
    <row r="202" spans="1:13">
      <c r="A202" s="2" t="s">
        <v>10</v>
      </c>
      <c r="B202" s="43" t="s">
        <v>764</v>
      </c>
      <c r="C202" s="139" t="s">
        <v>497</v>
      </c>
      <c r="D202" s="140" t="s">
        <v>492</v>
      </c>
      <c r="E202" s="139" t="s">
        <v>485</v>
      </c>
      <c r="F202" s="141">
        <v>99.2</v>
      </c>
      <c r="G202" s="142"/>
      <c r="H202" s="142"/>
    </row>
    <row r="203" spans="1:13">
      <c r="A203" s="2" t="s">
        <v>83</v>
      </c>
      <c r="B203" s="43" t="s">
        <v>764</v>
      </c>
      <c r="C203" s="139" t="s">
        <v>498</v>
      </c>
      <c r="D203" s="140" t="s">
        <v>493</v>
      </c>
      <c r="E203" s="139" t="s">
        <v>494</v>
      </c>
      <c r="F203" s="141">
        <v>4.97</v>
      </c>
      <c r="G203" s="142"/>
      <c r="H203" s="142"/>
      <c r="I203" s="23"/>
    </row>
    <row r="204" spans="1:13">
      <c r="A204" s="2" t="s">
        <v>84</v>
      </c>
      <c r="B204" s="43" t="s">
        <v>764</v>
      </c>
      <c r="C204" s="139" t="s">
        <v>499</v>
      </c>
      <c r="D204" s="140" t="s">
        <v>495</v>
      </c>
      <c r="E204" s="139" t="s">
        <v>485</v>
      </c>
      <c r="F204" s="141">
        <v>20.75</v>
      </c>
      <c r="G204" s="142"/>
      <c r="H204" s="142"/>
    </row>
    <row r="205" spans="1:13" ht="42.75">
      <c r="A205" s="2" t="s">
        <v>85</v>
      </c>
      <c r="B205" s="43" t="s">
        <v>764</v>
      </c>
      <c r="C205" s="139" t="s">
        <v>500</v>
      </c>
      <c r="D205" s="140" t="s">
        <v>496</v>
      </c>
      <c r="E205" s="139" t="s">
        <v>494</v>
      </c>
      <c r="F205" s="141">
        <v>4.97</v>
      </c>
      <c r="G205" s="142"/>
      <c r="H205" s="142"/>
    </row>
    <row r="206" spans="1:13">
      <c r="A206" s="2"/>
      <c r="B206" s="2"/>
      <c r="C206" s="2"/>
      <c r="D206" s="29" t="s">
        <v>43</v>
      </c>
      <c r="E206" s="2"/>
      <c r="F206" s="2"/>
      <c r="G206" s="2"/>
      <c r="H206" s="144"/>
      <c r="I206" s="23"/>
    </row>
    <row r="207" spans="1:13">
      <c r="A207" s="138"/>
      <c r="B207" s="138"/>
      <c r="C207" s="138"/>
      <c r="D207" s="138"/>
      <c r="E207" s="138"/>
      <c r="F207" s="138"/>
      <c r="G207" s="138"/>
      <c r="H207" s="138"/>
      <c r="I207" s="64"/>
      <c r="J207" s="64"/>
      <c r="K207" s="64"/>
    </row>
    <row r="208" spans="1:13">
      <c r="A208" s="10">
        <v>3</v>
      </c>
      <c r="B208" s="13"/>
      <c r="C208" s="13"/>
      <c r="D208" s="7" t="s">
        <v>502</v>
      </c>
      <c r="E208" s="13"/>
      <c r="F208" s="13"/>
      <c r="G208" s="18"/>
      <c r="H208" s="18"/>
      <c r="I208" s="66"/>
      <c r="J208" s="64"/>
      <c r="K208" s="64"/>
    </row>
    <row r="209" spans="1:11">
      <c r="A209" s="2" t="s">
        <v>11</v>
      </c>
      <c r="B209" s="43" t="s">
        <v>764</v>
      </c>
      <c r="C209" s="139" t="s">
        <v>506</v>
      </c>
      <c r="D209" s="140" t="s">
        <v>503</v>
      </c>
      <c r="E209" s="139" t="s">
        <v>494</v>
      </c>
      <c r="F209" s="141">
        <v>200</v>
      </c>
      <c r="G209" s="142"/>
      <c r="H209" s="142"/>
      <c r="I209" s="64"/>
      <c r="J209" s="67"/>
      <c r="K209" s="64"/>
    </row>
    <row r="210" spans="1:11" ht="28.5">
      <c r="A210" s="2" t="s">
        <v>90</v>
      </c>
      <c r="B210" s="43" t="s">
        <v>764</v>
      </c>
      <c r="C210" s="139" t="s">
        <v>507</v>
      </c>
      <c r="D210" s="140" t="s">
        <v>504</v>
      </c>
      <c r="E210" s="139" t="s">
        <v>494</v>
      </c>
      <c r="F210" s="141">
        <v>200</v>
      </c>
      <c r="G210" s="142"/>
      <c r="H210" s="142"/>
      <c r="I210" s="65"/>
      <c r="J210" s="65"/>
      <c r="K210" s="64"/>
    </row>
    <row r="211" spans="1:11" ht="28.5">
      <c r="A211" s="2" t="s">
        <v>91</v>
      </c>
      <c r="B211" s="43" t="s">
        <v>764</v>
      </c>
      <c r="C211" s="139" t="s">
        <v>508</v>
      </c>
      <c r="D211" s="145" t="s">
        <v>505</v>
      </c>
      <c r="E211" s="139" t="s">
        <v>485</v>
      </c>
      <c r="F211" s="141">
        <v>340</v>
      </c>
      <c r="G211" s="142"/>
      <c r="H211" s="142"/>
      <c r="I211" s="64"/>
      <c r="J211" s="64"/>
      <c r="K211" s="64"/>
    </row>
    <row r="212" spans="1:11">
      <c r="A212" s="248" t="s">
        <v>92</v>
      </c>
      <c r="B212" s="43" t="s">
        <v>764</v>
      </c>
      <c r="C212" s="139" t="s">
        <v>388</v>
      </c>
      <c r="D212" s="145" t="s">
        <v>640</v>
      </c>
      <c r="E212" s="139" t="s">
        <v>494</v>
      </c>
      <c r="F212" s="141">
        <v>21.52</v>
      </c>
      <c r="G212" s="142"/>
      <c r="H212" s="142"/>
      <c r="I212" s="65"/>
      <c r="J212" s="64"/>
      <c r="K212" s="64"/>
    </row>
    <row r="213" spans="1:11">
      <c r="A213" s="248"/>
      <c r="B213" s="248"/>
      <c r="C213" s="248"/>
      <c r="D213" s="31" t="s">
        <v>44</v>
      </c>
      <c r="E213" s="248"/>
      <c r="F213" s="248"/>
      <c r="G213" s="248"/>
      <c r="H213" s="249"/>
      <c r="I213" s="65"/>
      <c r="J213" s="64"/>
      <c r="K213" s="64"/>
    </row>
    <row r="214" spans="1:11">
      <c r="A214" s="245"/>
      <c r="B214" s="245"/>
      <c r="C214" s="245"/>
      <c r="D214" s="246"/>
      <c r="E214" s="245"/>
      <c r="F214" s="245"/>
      <c r="G214" s="245"/>
      <c r="H214" s="247"/>
      <c r="I214" s="64"/>
      <c r="J214" s="64"/>
      <c r="K214" s="64"/>
    </row>
    <row r="215" spans="1:11">
      <c r="A215" s="10">
        <v>4</v>
      </c>
      <c r="B215" s="13"/>
      <c r="C215" s="13"/>
      <c r="D215" s="7" t="s">
        <v>513</v>
      </c>
      <c r="E215" s="13"/>
      <c r="F215" s="13"/>
      <c r="G215" s="18"/>
      <c r="H215" s="18"/>
      <c r="I215" s="65"/>
      <c r="J215" s="64"/>
      <c r="K215" s="64"/>
    </row>
    <row r="216" spans="1:11" ht="42.75">
      <c r="A216" s="2" t="s">
        <v>12</v>
      </c>
      <c r="B216" s="43" t="s">
        <v>764</v>
      </c>
      <c r="C216" s="139" t="s">
        <v>514</v>
      </c>
      <c r="D216" s="140" t="s">
        <v>509</v>
      </c>
      <c r="E216" s="139" t="s">
        <v>485</v>
      </c>
      <c r="F216" s="141">
        <v>882.72</v>
      </c>
      <c r="G216" s="142"/>
      <c r="H216" s="142"/>
      <c r="I216" s="65"/>
      <c r="J216" s="64"/>
      <c r="K216" s="64"/>
    </row>
    <row r="217" spans="1:11" ht="28.5">
      <c r="A217" s="2" t="s">
        <v>13</v>
      </c>
      <c r="B217" s="43" t="s">
        <v>764</v>
      </c>
      <c r="C217" s="139" t="s">
        <v>508</v>
      </c>
      <c r="D217" s="140" t="s">
        <v>505</v>
      </c>
      <c r="E217" s="139" t="s">
        <v>485</v>
      </c>
      <c r="F217" s="141">
        <v>882.72</v>
      </c>
      <c r="G217" s="142"/>
      <c r="H217" s="142"/>
      <c r="I217" s="65"/>
      <c r="J217" s="64"/>
      <c r="K217" s="64"/>
    </row>
    <row r="218" spans="1:11" ht="28.5">
      <c r="A218" s="2" t="s">
        <v>14</v>
      </c>
      <c r="B218" s="139" t="s">
        <v>515</v>
      </c>
      <c r="C218" s="139">
        <v>94263</v>
      </c>
      <c r="D218" s="145" t="s">
        <v>510</v>
      </c>
      <c r="E218" s="139" t="s">
        <v>487</v>
      </c>
      <c r="F218" s="141">
        <v>560.32000000000005</v>
      </c>
      <c r="G218" s="142"/>
      <c r="H218" s="142"/>
      <c r="I218" s="65"/>
      <c r="J218" s="64"/>
      <c r="K218" s="64"/>
    </row>
    <row r="219" spans="1:11" ht="28.5">
      <c r="A219" s="2" t="s">
        <v>35</v>
      </c>
      <c r="B219" s="139" t="s">
        <v>515</v>
      </c>
      <c r="C219" s="139">
        <v>102498</v>
      </c>
      <c r="D219" s="140" t="s">
        <v>511</v>
      </c>
      <c r="E219" s="139" t="s">
        <v>487</v>
      </c>
      <c r="F219" s="141">
        <v>560.32000000000005</v>
      </c>
      <c r="G219" s="142"/>
      <c r="H219" s="142"/>
      <c r="I219" s="65"/>
      <c r="J219" s="64"/>
      <c r="K219" s="64"/>
    </row>
    <row r="220" spans="1:11" ht="42.75">
      <c r="A220" s="2" t="s">
        <v>324</v>
      </c>
      <c r="B220" s="43" t="s">
        <v>764</v>
      </c>
      <c r="C220" s="139" t="s">
        <v>516</v>
      </c>
      <c r="D220" s="140" t="s">
        <v>512</v>
      </c>
      <c r="E220" s="139" t="s">
        <v>485</v>
      </c>
      <c r="F220" s="141">
        <v>882.72</v>
      </c>
      <c r="G220" s="142"/>
      <c r="H220" s="142"/>
      <c r="I220" s="65"/>
      <c r="J220" s="64"/>
      <c r="K220" s="64"/>
    </row>
    <row r="221" spans="1:11">
      <c r="A221" s="2" t="s">
        <v>325</v>
      </c>
      <c r="B221" s="43" t="s">
        <v>764</v>
      </c>
      <c r="C221" s="139" t="s">
        <v>762</v>
      </c>
      <c r="D221" s="140" t="s">
        <v>761</v>
      </c>
      <c r="E221" s="139" t="s">
        <v>33</v>
      </c>
      <c r="F221" s="141">
        <f>F220</f>
        <v>882.72</v>
      </c>
      <c r="G221" s="142"/>
      <c r="H221" s="142"/>
      <c r="I221" s="65"/>
      <c r="J221" s="64"/>
      <c r="K221" s="64"/>
    </row>
    <row r="222" spans="1:11" ht="32.25" customHeight="1">
      <c r="A222" s="2" t="s">
        <v>326</v>
      </c>
      <c r="B222" s="43" t="s">
        <v>764</v>
      </c>
      <c r="C222" s="139" t="s">
        <v>657</v>
      </c>
      <c r="D222" s="140" t="s">
        <v>658</v>
      </c>
      <c r="E222" s="139" t="s">
        <v>485</v>
      </c>
      <c r="F222" s="141">
        <v>242.33</v>
      </c>
      <c r="G222" s="142"/>
      <c r="H222" s="142"/>
      <c r="I222" s="65"/>
      <c r="J222" s="64"/>
      <c r="K222" s="64"/>
    </row>
    <row r="223" spans="1:11" ht="28.5">
      <c r="A223" s="2" t="s">
        <v>327</v>
      </c>
      <c r="B223" s="43" t="s">
        <v>764</v>
      </c>
      <c r="C223" s="139" t="s">
        <v>405</v>
      </c>
      <c r="D223" s="140" t="s">
        <v>670</v>
      </c>
      <c r="E223" s="139" t="s">
        <v>485</v>
      </c>
      <c r="F223" s="141">
        <f>14.18+59.69</f>
        <v>73.87</v>
      </c>
      <c r="G223" s="142"/>
      <c r="H223" s="142"/>
      <c r="I223" s="65"/>
      <c r="J223" s="64"/>
      <c r="K223" s="64"/>
    </row>
    <row r="224" spans="1:11">
      <c r="A224" s="2" t="s">
        <v>328</v>
      </c>
      <c r="B224" s="43" t="s">
        <v>764</v>
      </c>
      <c r="C224" s="38" t="s">
        <v>96</v>
      </c>
      <c r="D224" s="45" t="s">
        <v>754</v>
      </c>
      <c r="E224" s="38" t="s">
        <v>34</v>
      </c>
      <c r="F224" s="36">
        <f>73.87*0.035</f>
        <v>2.5854500000000002</v>
      </c>
      <c r="G224" s="40"/>
      <c r="H224" s="40"/>
      <c r="I224" s="65"/>
      <c r="J224" s="64"/>
      <c r="K224" s="64"/>
    </row>
    <row r="225" spans="1:11" ht="29.25">
      <c r="A225" s="2" t="s">
        <v>329</v>
      </c>
      <c r="B225" s="43" t="s">
        <v>764</v>
      </c>
      <c r="C225" s="38" t="s">
        <v>39</v>
      </c>
      <c r="D225" s="45" t="s">
        <v>755</v>
      </c>
      <c r="E225" s="38" t="s">
        <v>34</v>
      </c>
      <c r="F225" s="36">
        <f>F224</f>
        <v>2.5854500000000002</v>
      </c>
      <c r="G225" s="40"/>
      <c r="H225" s="40"/>
      <c r="I225" s="65"/>
      <c r="J225" s="64"/>
      <c r="K225" s="64"/>
    </row>
    <row r="226" spans="1:11">
      <c r="A226" s="138"/>
      <c r="B226" s="138"/>
      <c r="C226" s="138"/>
      <c r="D226" s="29" t="s">
        <v>517</v>
      </c>
      <c r="E226" s="2"/>
      <c r="F226" s="2"/>
      <c r="G226" s="2"/>
      <c r="H226" s="144"/>
      <c r="I226" s="65"/>
      <c r="J226" s="64"/>
      <c r="K226" s="64"/>
    </row>
    <row r="227" spans="1:11">
      <c r="A227" s="138"/>
      <c r="B227" s="138"/>
      <c r="C227" s="138"/>
      <c r="D227" s="138"/>
      <c r="E227" s="138"/>
      <c r="F227" s="138"/>
      <c r="G227" s="138"/>
      <c r="H227" s="138"/>
      <c r="I227" s="65"/>
      <c r="J227" s="64"/>
      <c r="K227" s="64"/>
    </row>
    <row r="228" spans="1:11">
      <c r="A228" s="10">
        <v>5</v>
      </c>
      <c r="B228" s="13"/>
      <c r="C228" s="13"/>
      <c r="D228" s="7" t="s">
        <v>522</v>
      </c>
      <c r="E228" s="13"/>
      <c r="F228" s="13"/>
      <c r="G228" s="18"/>
      <c r="H228" s="18"/>
      <c r="I228" s="64"/>
      <c r="J228" s="64"/>
      <c r="K228" s="64"/>
    </row>
    <row r="229" spans="1:11" ht="28.5">
      <c r="A229" s="2" t="s">
        <v>330</v>
      </c>
      <c r="B229" s="146" t="s">
        <v>523</v>
      </c>
      <c r="C229" s="147" t="s">
        <v>524</v>
      </c>
      <c r="D229" s="140" t="s">
        <v>518</v>
      </c>
      <c r="E229" s="139" t="s">
        <v>519</v>
      </c>
      <c r="F229" s="141">
        <v>2</v>
      </c>
      <c r="G229" s="142"/>
      <c r="H229" s="142"/>
      <c r="I229" s="65"/>
      <c r="J229" s="64"/>
      <c r="K229" s="64"/>
    </row>
    <row r="230" spans="1:11">
      <c r="A230" s="2" t="s">
        <v>16</v>
      </c>
      <c r="B230" s="43" t="s">
        <v>764</v>
      </c>
      <c r="C230" s="147" t="s">
        <v>525</v>
      </c>
      <c r="D230" s="140" t="s">
        <v>520</v>
      </c>
      <c r="E230" s="139" t="s">
        <v>485</v>
      </c>
      <c r="F230" s="141">
        <f>2*2.33*1.4/2</f>
        <v>3.262</v>
      </c>
      <c r="G230" s="142"/>
      <c r="H230" s="142"/>
      <c r="I230" s="65"/>
      <c r="J230" s="64"/>
      <c r="K230" s="64"/>
    </row>
    <row r="231" spans="1:11">
      <c r="A231" s="138"/>
      <c r="B231" s="138"/>
      <c r="C231" s="138"/>
      <c r="D231" s="29" t="s">
        <v>521</v>
      </c>
      <c r="E231" s="2"/>
      <c r="F231" s="2"/>
      <c r="G231" s="2"/>
      <c r="H231" s="144"/>
      <c r="I231" s="23"/>
    </row>
    <row r="232" spans="1:11">
      <c r="A232" s="138"/>
      <c r="B232" s="138"/>
      <c r="C232" s="138"/>
      <c r="D232" s="29"/>
      <c r="E232" s="2"/>
      <c r="F232" s="2"/>
      <c r="G232" s="2"/>
      <c r="H232" s="144"/>
    </row>
    <row r="233" spans="1:11">
      <c r="A233" s="10">
        <v>6</v>
      </c>
      <c r="B233" s="13"/>
      <c r="C233" s="13"/>
      <c r="D233" s="7" t="s">
        <v>527</v>
      </c>
      <c r="E233" s="13"/>
      <c r="F233" s="13"/>
      <c r="G233" s="18"/>
      <c r="H233" s="18"/>
    </row>
    <row r="234" spans="1:11">
      <c r="A234" s="255" t="s">
        <v>17</v>
      </c>
      <c r="B234" s="43" t="s">
        <v>764</v>
      </c>
      <c r="C234" s="256" t="s">
        <v>743</v>
      </c>
      <c r="D234" s="257" t="s">
        <v>744</v>
      </c>
      <c r="E234" s="151" t="s">
        <v>485</v>
      </c>
      <c r="F234" s="152">
        <v>1.56</v>
      </c>
      <c r="G234" s="153"/>
      <c r="H234" s="142"/>
    </row>
    <row r="235" spans="1:11">
      <c r="A235" s="255" t="s">
        <v>18</v>
      </c>
      <c r="B235" s="43" t="s">
        <v>764</v>
      </c>
      <c r="C235" s="148" t="s">
        <v>96</v>
      </c>
      <c r="D235" s="140" t="s">
        <v>644</v>
      </c>
      <c r="E235" s="149" t="s">
        <v>494</v>
      </c>
      <c r="F235" s="141">
        <v>2.27</v>
      </c>
      <c r="G235" s="142"/>
      <c r="H235" s="142"/>
    </row>
    <row r="236" spans="1:11" ht="26.25" customHeight="1">
      <c r="A236" s="255" t="s">
        <v>179</v>
      </c>
      <c r="B236" s="43" t="s">
        <v>764</v>
      </c>
      <c r="C236" s="148" t="s">
        <v>645</v>
      </c>
      <c r="D236" s="140" t="s">
        <v>646</v>
      </c>
      <c r="E236" s="149" t="s">
        <v>494</v>
      </c>
      <c r="F236" s="141">
        <v>2.27</v>
      </c>
      <c r="G236" s="142"/>
      <c r="H236" s="142"/>
    </row>
    <row r="237" spans="1:11">
      <c r="A237" s="255" t="s">
        <v>180</v>
      </c>
      <c r="B237" s="43" t="s">
        <v>764</v>
      </c>
      <c r="C237" s="148" t="s">
        <v>279</v>
      </c>
      <c r="D237" s="140" t="s">
        <v>647</v>
      </c>
      <c r="E237" s="149" t="s">
        <v>485</v>
      </c>
      <c r="F237" s="141">
        <v>12.66</v>
      </c>
      <c r="G237" s="142"/>
      <c r="H237" s="142"/>
    </row>
    <row r="238" spans="1:11">
      <c r="A238" s="255" t="s">
        <v>191</v>
      </c>
      <c r="B238" s="43" t="s">
        <v>764</v>
      </c>
      <c r="C238" s="148" t="s">
        <v>323</v>
      </c>
      <c r="D238" s="266" t="s">
        <v>648</v>
      </c>
      <c r="E238" s="149" t="s">
        <v>485</v>
      </c>
      <c r="F238" s="141">
        <v>13.8</v>
      </c>
      <c r="G238" s="142"/>
      <c r="H238" s="142"/>
    </row>
    <row r="239" spans="1:11">
      <c r="A239" s="255" t="s">
        <v>221</v>
      </c>
      <c r="B239" s="43" t="s">
        <v>764</v>
      </c>
      <c r="C239" s="148" t="s">
        <v>649</v>
      </c>
      <c r="D239" s="140" t="s">
        <v>650</v>
      </c>
      <c r="E239" s="149" t="s">
        <v>485</v>
      </c>
      <c r="F239" s="141">
        <v>27.6</v>
      </c>
      <c r="G239" s="142"/>
      <c r="H239" s="142"/>
    </row>
    <row r="240" spans="1:11">
      <c r="A240" s="255" t="s">
        <v>654</v>
      </c>
      <c r="B240" s="43" t="s">
        <v>764</v>
      </c>
      <c r="C240" s="148" t="s">
        <v>651</v>
      </c>
      <c r="D240" s="140" t="s">
        <v>652</v>
      </c>
      <c r="E240" s="149" t="s">
        <v>485</v>
      </c>
      <c r="F240" s="141">
        <v>27.6</v>
      </c>
      <c r="G240" s="142"/>
      <c r="H240" s="142"/>
    </row>
    <row r="241" spans="1:9">
      <c r="A241" s="255" t="s">
        <v>655</v>
      </c>
      <c r="B241" s="43" t="s">
        <v>764</v>
      </c>
      <c r="C241" s="148" t="s">
        <v>132</v>
      </c>
      <c r="D241" s="140" t="s">
        <v>653</v>
      </c>
      <c r="E241" s="149" t="s">
        <v>485</v>
      </c>
      <c r="F241" s="141">
        <v>27.6</v>
      </c>
      <c r="G241" s="142"/>
      <c r="H241" s="142"/>
    </row>
    <row r="242" spans="1:9" ht="28.5">
      <c r="A242" s="255" t="s">
        <v>656</v>
      </c>
      <c r="B242" s="43" t="s">
        <v>764</v>
      </c>
      <c r="C242" s="148" t="s">
        <v>528</v>
      </c>
      <c r="D242" s="140" t="s">
        <v>526</v>
      </c>
      <c r="E242" s="149" t="s">
        <v>519</v>
      </c>
      <c r="F242" s="141">
        <v>5</v>
      </c>
      <c r="G242" s="142"/>
      <c r="H242" s="142"/>
    </row>
    <row r="243" spans="1:9">
      <c r="A243" s="138"/>
      <c r="B243" s="138"/>
      <c r="C243" s="138"/>
      <c r="D243" s="29" t="s">
        <v>529</v>
      </c>
      <c r="E243" s="2"/>
      <c r="F243" s="2"/>
      <c r="G243" s="2"/>
      <c r="H243" s="144"/>
      <c r="I243" s="23"/>
    </row>
    <row r="244" spans="1:9">
      <c r="A244" s="138"/>
      <c r="B244" s="138"/>
      <c r="C244" s="138"/>
      <c r="D244" s="29"/>
      <c r="E244" s="2"/>
      <c r="F244" s="2"/>
      <c r="G244" s="2"/>
      <c r="H244" s="144"/>
    </row>
    <row r="245" spans="1:9">
      <c r="A245" s="10">
        <v>7</v>
      </c>
      <c r="B245" s="13"/>
      <c r="C245" s="13"/>
      <c r="D245" s="7" t="s">
        <v>532</v>
      </c>
      <c r="E245" s="13"/>
      <c r="F245" s="13"/>
      <c r="G245" s="18"/>
      <c r="H245" s="18"/>
    </row>
    <row r="246" spans="1:9" ht="28.5">
      <c r="A246" s="2" t="s">
        <v>19</v>
      </c>
      <c r="B246" s="146" t="s">
        <v>523</v>
      </c>
      <c r="C246" s="147" t="s">
        <v>531</v>
      </c>
      <c r="D246" s="150" t="s">
        <v>530</v>
      </c>
      <c r="E246" s="151" t="s">
        <v>519</v>
      </c>
      <c r="F246" s="152">
        <v>1</v>
      </c>
      <c r="G246" s="153"/>
      <c r="H246" s="153"/>
    </row>
    <row r="247" spans="1:9">
      <c r="A247" s="2"/>
      <c r="B247" s="2"/>
      <c r="C247" s="2"/>
      <c r="D247" s="29" t="s">
        <v>533</v>
      </c>
      <c r="E247" s="2"/>
      <c r="F247" s="2"/>
      <c r="G247" s="2"/>
      <c r="H247" s="144"/>
      <c r="I247" s="23"/>
    </row>
    <row r="248" spans="1:9">
      <c r="A248" s="2"/>
      <c r="B248" s="2"/>
      <c r="C248" s="2"/>
      <c r="D248" s="29"/>
      <c r="E248" s="2"/>
      <c r="F248" s="2"/>
      <c r="G248" s="2"/>
      <c r="H248" s="144"/>
    </row>
    <row r="249" spans="1:9">
      <c r="A249" s="10">
        <v>8</v>
      </c>
      <c r="B249" s="13"/>
      <c r="C249" s="13"/>
      <c r="D249" s="7" t="s">
        <v>534</v>
      </c>
      <c r="E249" s="13"/>
      <c r="F249" s="13"/>
      <c r="G249" s="18"/>
      <c r="H249" s="18"/>
    </row>
    <row r="250" spans="1:9" ht="28.5">
      <c r="A250" s="2" t="s">
        <v>21</v>
      </c>
      <c r="B250" s="146" t="s">
        <v>523</v>
      </c>
      <c r="C250" s="147" t="s">
        <v>536</v>
      </c>
      <c r="D250" s="150" t="s">
        <v>535</v>
      </c>
      <c r="E250" s="151" t="s">
        <v>519</v>
      </c>
      <c r="F250" s="152">
        <v>3</v>
      </c>
      <c r="G250" s="142"/>
      <c r="H250" s="143"/>
    </row>
    <row r="251" spans="1:9">
      <c r="A251" s="2"/>
      <c r="B251" s="2"/>
      <c r="C251" s="2"/>
      <c r="D251" s="29" t="s">
        <v>537</v>
      </c>
      <c r="E251" s="2"/>
      <c r="F251" s="2"/>
      <c r="G251" s="2"/>
      <c r="H251" s="144"/>
      <c r="I251" s="23"/>
    </row>
    <row r="252" spans="1:9">
      <c r="A252" s="2"/>
      <c r="B252" s="2"/>
      <c r="C252" s="2"/>
      <c r="D252" s="29"/>
      <c r="E252" s="2"/>
      <c r="F252" s="2"/>
      <c r="G252" s="2"/>
      <c r="H252" s="144"/>
    </row>
    <row r="253" spans="1:9">
      <c r="A253" s="10">
        <v>9</v>
      </c>
      <c r="B253" s="13"/>
      <c r="C253" s="13"/>
      <c r="D253" s="7" t="s">
        <v>538</v>
      </c>
      <c r="E253" s="13"/>
      <c r="F253" s="13"/>
      <c r="G253" s="18"/>
      <c r="H253" s="18"/>
    </row>
    <row r="254" spans="1:9">
      <c r="A254" s="2" t="s">
        <v>22</v>
      </c>
      <c r="B254" s="146" t="s">
        <v>523</v>
      </c>
      <c r="C254" s="147" t="s">
        <v>540</v>
      </c>
      <c r="D254" s="150" t="s">
        <v>539</v>
      </c>
      <c r="E254" s="151" t="s">
        <v>519</v>
      </c>
      <c r="F254" s="152">
        <v>1</v>
      </c>
      <c r="G254" s="154"/>
      <c r="H254" s="153"/>
    </row>
    <row r="255" spans="1:9">
      <c r="A255" s="2"/>
      <c r="B255" s="2"/>
      <c r="C255" s="2"/>
      <c r="D255" s="29" t="s">
        <v>541</v>
      </c>
      <c r="E255" s="2"/>
      <c r="F255" s="2"/>
      <c r="G255" s="2"/>
      <c r="H255" s="144"/>
      <c r="I255" s="23"/>
    </row>
    <row r="256" spans="1:9">
      <c r="A256" s="2"/>
      <c r="B256" s="2"/>
      <c r="C256" s="2"/>
      <c r="D256" s="29"/>
      <c r="E256" s="2"/>
      <c r="F256" s="2"/>
      <c r="G256" s="2"/>
      <c r="H256" s="144"/>
    </row>
    <row r="257" spans="1:9">
      <c r="A257" s="10">
        <v>10</v>
      </c>
      <c r="B257" s="13"/>
      <c r="C257" s="13"/>
      <c r="D257" s="7" t="s">
        <v>542</v>
      </c>
      <c r="E257" s="13"/>
      <c r="F257" s="13"/>
      <c r="G257" s="18"/>
      <c r="H257" s="18"/>
      <c r="I257" s="23"/>
    </row>
    <row r="258" spans="1:9" ht="28.5">
      <c r="A258" s="2" t="s">
        <v>293</v>
      </c>
      <c r="B258" s="146" t="s">
        <v>523</v>
      </c>
      <c r="C258" s="147" t="s">
        <v>544</v>
      </c>
      <c r="D258" s="150" t="s">
        <v>543</v>
      </c>
      <c r="E258" s="151" t="s">
        <v>519</v>
      </c>
      <c r="F258" s="152">
        <v>1</v>
      </c>
      <c r="G258" s="155"/>
      <c r="H258" s="153"/>
    </row>
    <row r="259" spans="1:9">
      <c r="A259" s="2"/>
      <c r="B259" s="2"/>
      <c r="C259" s="2"/>
      <c r="D259" s="29"/>
      <c r="E259" s="2"/>
      <c r="F259" s="2"/>
      <c r="G259" s="2"/>
      <c r="H259" s="144"/>
      <c r="I259" s="23"/>
    </row>
    <row r="260" spans="1:9">
      <c r="A260" s="138"/>
      <c r="B260" s="138"/>
      <c r="C260" s="138"/>
      <c r="D260" s="29"/>
      <c r="E260" s="2"/>
      <c r="F260" s="2"/>
      <c r="G260" s="2"/>
      <c r="H260" s="144"/>
      <c r="I260" s="23"/>
    </row>
    <row r="261" spans="1:9">
      <c r="A261" s="138"/>
      <c r="B261" s="138"/>
      <c r="C261" s="138"/>
      <c r="D261" s="29" t="s">
        <v>545</v>
      </c>
      <c r="E261" s="2"/>
      <c r="F261" s="2"/>
      <c r="G261" s="2"/>
      <c r="H261" s="144"/>
      <c r="I261" s="23"/>
    </row>
    <row r="262" spans="1:9">
      <c r="A262" s="138"/>
      <c r="B262" s="138"/>
      <c r="C262" s="138"/>
      <c r="D262" s="29"/>
      <c r="E262" s="2"/>
      <c r="F262" s="2"/>
      <c r="G262" s="2"/>
      <c r="H262" s="144"/>
      <c r="I262" s="23"/>
    </row>
    <row r="263" spans="1:9">
      <c r="A263" s="12"/>
      <c r="B263" s="6"/>
      <c r="C263" s="6"/>
      <c r="D263" s="14" t="s">
        <v>760</v>
      </c>
      <c r="E263" s="6"/>
      <c r="F263" s="6"/>
      <c r="G263" s="14"/>
      <c r="H263" s="21"/>
    </row>
    <row r="264" spans="1:9">
      <c r="A264" s="12"/>
      <c r="B264" s="6"/>
      <c r="C264" s="6"/>
      <c r="D264" s="14" t="s">
        <v>775</v>
      </c>
      <c r="E264" s="6"/>
      <c r="F264" s="55">
        <v>0.25</v>
      </c>
      <c r="G264" s="14"/>
      <c r="H264" s="21"/>
    </row>
    <row r="265" spans="1:9">
      <c r="A265" s="12"/>
      <c r="B265" s="6"/>
      <c r="C265" s="6"/>
      <c r="D265" s="14" t="s">
        <v>776</v>
      </c>
      <c r="E265" s="6"/>
      <c r="F265" s="55"/>
      <c r="G265" s="54"/>
      <c r="H265" s="22"/>
    </row>
    <row r="266" spans="1:9">
      <c r="A266" s="11"/>
      <c r="B266" s="15"/>
      <c r="C266" s="15"/>
      <c r="D266" s="7" t="s">
        <v>27</v>
      </c>
      <c r="E266" s="3"/>
      <c r="F266" s="3"/>
      <c r="G266" s="3"/>
      <c r="H266" s="18"/>
    </row>
    <row r="267" spans="1:9">
      <c r="A267" s="11"/>
      <c r="B267" s="15"/>
      <c r="C267" s="15"/>
      <c r="D267" s="7" t="s">
        <v>671</v>
      </c>
      <c r="E267" s="3"/>
      <c r="F267" s="3"/>
      <c r="G267" s="3"/>
      <c r="H267" s="18"/>
      <c r="I267" s="23"/>
    </row>
    <row r="268" spans="1:9">
      <c r="A268" s="156" t="s">
        <v>769</v>
      </c>
      <c r="B268" s="64"/>
      <c r="C268" s="64"/>
      <c r="D268" s="64"/>
      <c r="E268" s="64"/>
      <c r="F268" s="64"/>
      <c r="G268" s="64"/>
      <c r="H268" s="157"/>
      <c r="I268" s="23"/>
    </row>
    <row r="269" spans="1:9">
      <c r="A269" s="156"/>
      <c r="B269" s="64"/>
      <c r="C269" s="64"/>
      <c r="D269" s="64"/>
      <c r="E269" s="64"/>
      <c r="F269" s="64"/>
      <c r="G269" s="64"/>
      <c r="H269" s="157"/>
    </row>
    <row r="270" spans="1:9">
      <c r="A270" s="156"/>
      <c r="B270" s="64"/>
      <c r="C270" s="64"/>
      <c r="D270" s="159"/>
      <c r="E270" s="293"/>
      <c r="F270" s="293"/>
      <c r="G270" s="293"/>
      <c r="H270" s="294"/>
    </row>
    <row r="271" spans="1:9" ht="15.75">
      <c r="A271" s="156"/>
      <c r="B271" s="64"/>
      <c r="C271" s="64"/>
      <c r="D271" s="264"/>
      <c r="E271" s="295"/>
      <c r="F271" s="295"/>
      <c r="G271" s="295"/>
      <c r="H271" s="296"/>
    </row>
    <row r="272" spans="1:9" ht="15.75">
      <c r="A272" s="156"/>
      <c r="B272" s="64"/>
      <c r="C272" s="64"/>
      <c r="D272" s="267"/>
      <c r="E272" s="295"/>
      <c r="F272" s="295"/>
      <c r="G272" s="295"/>
      <c r="H272" s="296"/>
      <c r="I272" s="23"/>
    </row>
    <row r="273" spans="1:8" ht="15.75">
      <c r="A273" s="156"/>
      <c r="B273" s="64"/>
      <c r="C273" s="64"/>
      <c r="D273" s="264"/>
      <c r="E273" s="295"/>
      <c r="F273" s="295"/>
      <c r="G273" s="295"/>
      <c r="H273" s="296"/>
    </row>
    <row r="274" spans="1:8">
      <c r="A274" s="158"/>
      <c r="B274" s="159"/>
      <c r="C274" s="159"/>
      <c r="D274" s="159"/>
      <c r="E274" s="159"/>
      <c r="F274" s="159"/>
      <c r="G274" s="159"/>
      <c r="H274" s="160"/>
    </row>
    <row r="446" spans="1:8">
      <c r="A446" s="1"/>
      <c r="B446" s="1"/>
      <c r="C446" s="1"/>
      <c r="D446" s="1"/>
      <c r="E446" s="1"/>
      <c r="F446" s="1"/>
      <c r="G446" s="1"/>
      <c r="H446" s="1"/>
    </row>
    <row r="447" spans="1:8">
      <c r="A447" s="1"/>
      <c r="B447" s="1"/>
      <c r="C447" s="1"/>
      <c r="D447" s="1"/>
      <c r="E447" s="1"/>
      <c r="F447" s="1"/>
      <c r="G447" s="1"/>
      <c r="H447" s="1"/>
    </row>
    <row r="448" spans="1:8">
      <c r="A448" s="1"/>
      <c r="B448" s="1"/>
      <c r="C448" s="1"/>
      <c r="D448" s="1"/>
      <c r="E448" s="1"/>
      <c r="F448" s="1"/>
      <c r="G448" s="1"/>
      <c r="H448" s="1"/>
    </row>
    <row r="449" spans="1:8">
      <c r="A449" s="1"/>
      <c r="B449" s="1"/>
      <c r="C449" s="1"/>
      <c r="D449" s="1"/>
      <c r="E449" s="1"/>
      <c r="F449" s="1"/>
      <c r="G449" s="1"/>
      <c r="H449" s="1"/>
    </row>
    <row r="450" spans="1:8">
      <c r="A450" s="1"/>
      <c r="B450" s="1"/>
      <c r="C450" s="1"/>
      <c r="D450" s="1"/>
      <c r="E450" s="1"/>
      <c r="F450" s="1"/>
      <c r="G450" s="1"/>
      <c r="H450" s="1"/>
    </row>
    <row r="451" spans="1:8">
      <c r="A451" s="1"/>
      <c r="B451" s="1"/>
      <c r="C451" s="1"/>
      <c r="D451" s="1"/>
      <c r="E451" s="1"/>
      <c r="F451" s="1"/>
      <c r="G451" s="1"/>
      <c r="H451" s="1"/>
    </row>
    <row r="452" spans="1:8">
      <c r="A452" s="1"/>
      <c r="B452" s="1"/>
      <c r="C452" s="1"/>
      <c r="D452" s="1"/>
      <c r="E452" s="1"/>
      <c r="F452" s="1"/>
      <c r="G452" s="1"/>
      <c r="H452" s="1"/>
    </row>
    <row r="453" spans="1:8">
      <c r="A453" s="1"/>
      <c r="B453" s="1"/>
      <c r="C453" s="1"/>
      <c r="D453" s="1"/>
      <c r="E453" s="1"/>
      <c r="F453" s="1"/>
      <c r="G453" s="1"/>
      <c r="H453" s="1"/>
    </row>
    <row r="454" spans="1:8">
      <c r="A454" s="1"/>
      <c r="B454" s="1"/>
      <c r="C454" s="1"/>
      <c r="D454" s="1"/>
      <c r="E454" s="1"/>
      <c r="F454" s="1"/>
      <c r="G454" s="1"/>
      <c r="H454" s="1"/>
    </row>
    <row r="455" spans="1:8">
      <c r="A455" s="1"/>
      <c r="B455" s="1"/>
      <c r="C455" s="1"/>
      <c r="D455" s="1"/>
      <c r="E455" s="1"/>
      <c r="F455" s="1"/>
      <c r="G455" s="1"/>
      <c r="H455" s="1"/>
    </row>
    <row r="456" spans="1:8">
      <c r="A456" s="1"/>
      <c r="B456" s="1"/>
      <c r="C456" s="1"/>
      <c r="D456" s="1"/>
      <c r="E456" s="1"/>
      <c r="F456" s="1"/>
      <c r="G456" s="1"/>
      <c r="H456" s="1"/>
    </row>
    <row r="457" spans="1:8">
      <c r="A457" s="1"/>
      <c r="B457" s="1"/>
      <c r="C457" s="1"/>
      <c r="D457" s="1"/>
      <c r="E457" s="1"/>
      <c r="F457" s="1"/>
      <c r="G457" s="1"/>
      <c r="H457" s="1"/>
    </row>
    <row r="458" spans="1:8">
      <c r="A458" s="1"/>
      <c r="B458" s="1"/>
      <c r="C458" s="1"/>
      <c r="D458" s="1"/>
      <c r="E458" s="1"/>
      <c r="F458" s="1"/>
      <c r="G458" s="1"/>
      <c r="H458" s="1"/>
    </row>
    <row r="459" spans="1:8">
      <c r="A459" s="1"/>
      <c r="B459" s="1"/>
      <c r="C459" s="1"/>
      <c r="D459" s="1"/>
      <c r="E459" s="1"/>
      <c r="F459" s="1"/>
      <c r="G459" s="1"/>
      <c r="H459" s="1"/>
    </row>
    <row r="460" spans="1:8">
      <c r="A460" s="1"/>
      <c r="B460" s="1"/>
      <c r="C460" s="1"/>
      <c r="D460" s="1"/>
      <c r="E460" s="1"/>
      <c r="F460" s="1"/>
      <c r="G460" s="1"/>
      <c r="H460" s="1"/>
    </row>
    <row r="461" spans="1:8">
      <c r="A461" s="1"/>
      <c r="B461" s="1"/>
      <c r="C461" s="1"/>
      <c r="D461" s="1"/>
      <c r="E461" s="1"/>
      <c r="F461" s="1"/>
      <c r="G461" s="1"/>
      <c r="H461" s="1"/>
    </row>
    <row r="462" spans="1:8">
      <c r="A462" s="1"/>
      <c r="B462" s="1"/>
      <c r="C462" s="1"/>
      <c r="D462" s="1"/>
      <c r="E462" s="1"/>
      <c r="F462" s="1"/>
      <c r="G462" s="1"/>
      <c r="H462" s="1"/>
    </row>
    <row r="463" spans="1:8">
      <c r="A463" s="1"/>
      <c r="B463" s="1"/>
      <c r="C463" s="1"/>
      <c r="D463" s="1"/>
      <c r="E463" s="1"/>
      <c r="F463" s="1"/>
      <c r="G463" s="1"/>
      <c r="H463" s="1"/>
    </row>
    <row r="464" spans="1:8">
      <c r="A464" s="1"/>
      <c r="B464" s="1"/>
      <c r="C464" s="1"/>
      <c r="D464" s="1"/>
      <c r="E464" s="1"/>
      <c r="F464" s="1"/>
      <c r="G464" s="1"/>
      <c r="H464" s="1"/>
    </row>
    <row r="465" spans="1:8">
      <c r="A465" s="1"/>
      <c r="B465" s="1"/>
      <c r="C465" s="1"/>
      <c r="D465" s="1"/>
      <c r="E465" s="1"/>
      <c r="F465" s="1"/>
      <c r="G465" s="1"/>
      <c r="H465" s="1"/>
    </row>
    <row r="466" spans="1:8">
      <c r="A466" s="1"/>
      <c r="B466" s="1"/>
      <c r="C466" s="1"/>
      <c r="D466" s="1"/>
      <c r="E466" s="1"/>
      <c r="F466" s="1"/>
      <c r="G466" s="1"/>
      <c r="H466" s="1"/>
    </row>
    <row r="467" spans="1:8">
      <c r="A467" s="1"/>
      <c r="B467" s="1"/>
      <c r="C467" s="1"/>
      <c r="D467" s="1"/>
      <c r="E467" s="1"/>
      <c r="F467" s="1"/>
      <c r="G467" s="1"/>
      <c r="H467" s="1"/>
    </row>
    <row r="468" spans="1:8">
      <c r="A468" s="1"/>
      <c r="B468" s="1"/>
      <c r="C468" s="1"/>
      <c r="D468" s="1"/>
      <c r="E468" s="1"/>
      <c r="F468" s="1"/>
      <c r="G468" s="1"/>
      <c r="H468" s="1"/>
    </row>
    <row r="469" spans="1:8">
      <c r="A469" s="1"/>
      <c r="B469" s="1"/>
      <c r="C469" s="1"/>
      <c r="D469" s="1"/>
      <c r="E469" s="1"/>
      <c r="F469" s="1"/>
      <c r="G469" s="1"/>
      <c r="H469" s="1"/>
    </row>
    <row r="470" spans="1:8">
      <c r="A470" s="1"/>
      <c r="B470" s="1"/>
      <c r="C470" s="1"/>
      <c r="D470" s="1"/>
      <c r="E470" s="1"/>
      <c r="F470" s="1"/>
      <c r="G470" s="1"/>
      <c r="H470" s="1"/>
    </row>
    <row r="471" spans="1:8">
      <c r="A471" s="1"/>
      <c r="B471" s="1"/>
      <c r="C471" s="1"/>
      <c r="D471" s="1"/>
      <c r="E471" s="1"/>
      <c r="F471" s="1"/>
      <c r="G471" s="1"/>
      <c r="H471" s="1"/>
    </row>
    <row r="472" spans="1:8">
      <c r="A472" s="1"/>
      <c r="B472" s="1"/>
      <c r="C472" s="1"/>
      <c r="D472" s="1"/>
      <c r="E472" s="1"/>
      <c r="F472" s="1"/>
      <c r="G472" s="1"/>
      <c r="H472" s="1"/>
    </row>
    <row r="473" spans="1:8">
      <c r="A473" s="1"/>
      <c r="B473" s="1"/>
      <c r="C473" s="1"/>
      <c r="D473" s="1"/>
      <c r="E473" s="1"/>
      <c r="F473" s="1"/>
      <c r="G473" s="1"/>
      <c r="H473" s="1"/>
    </row>
    <row r="474" spans="1:8">
      <c r="A474" s="1"/>
      <c r="B474" s="1"/>
      <c r="C474" s="1"/>
      <c r="D474" s="1"/>
      <c r="E474" s="1"/>
      <c r="F474" s="1"/>
      <c r="G474" s="1"/>
      <c r="H474" s="1"/>
    </row>
    <row r="475" spans="1:8">
      <c r="A475" s="1"/>
      <c r="B475" s="1"/>
      <c r="C475" s="1"/>
      <c r="D475" s="1"/>
      <c r="E475" s="1"/>
      <c r="F475" s="1"/>
      <c r="G475" s="1"/>
      <c r="H475" s="1"/>
    </row>
    <row r="476" spans="1:8">
      <c r="A476" s="1"/>
      <c r="B476" s="1"/>
      <c r="C476" s="1"/>
      <c r="D476" s="1"/>
      <c r="E476" s="1"/>
      <c r="F476" s="1"/>
      <c r="G476" s="1"/>
      <c r="H476" s="1"/>
    </row>
    <row r="477" spans="1:8">
      <c r="A477" s="1"/>
      <c r="B477" s="1"/>
      <c r="C477" s="1"/>
      <c r="D477" s="1"/>
      <c r="E477" s="1"/>
      <c r="F477" s="1"/>
      <c r="G477" s="1"/>
      <c r="H477" s="1"/>
    </row>
    <row r="478" spans="1:8">
      <c r="A478" s="1"/>
      <c r="B478" s="1"/>
      <c r="C478" s="1"/>
      <c r="D478" s="1"/>
      <c r="E478" s="1"/>
      <c r="F478" s="1"/>
      <c r="G478" s="1"/>
      <c r="H478" s="1"/>
    </row>
    <row r="479" spans="1:8">
      <c r="A479" s="1"/>
      <c r="B479" s="1"/>
      <c r="C479" s="1"/>
      <c r="D479" s="1"/>
      <c r="E479" s="1"/>
      <c r="F479" s="1"/>
      <c r="G479" s="1"/>
      <c r="H479" s="1"/>
    </row>
    <row r="480" spans="1:8">
      <c r="A480" s="1"/>
      <c r="B480" s="1"/>
      <c r="C480" s="1"/>
      <c r="D480" s="1"/>
      <c r="E480" s="1"/>
      <c r="F480" s="1"/>
      <c r="G480" s="1"/>
      <c r="H480" s="1"/>
    </row>
    <row r="481" spans="1:8">
      <c r="A481" s="1"/>
      <c r="B481" s="1"/>
      <c r="C481" s="1"/>
      <c r="D481" s="1"/>
      <c r="E481" s="1"/>
      <c r="F481" s="1"/>
      <c r="G481" s="1"/>
      <c r="H481" s="1"/>
    </row>
    <row r="482" spans="1:8">
      <c r="A482" s="1"/>
      <c r="B482" s="1"/>
      <c r="C482" s="1"/>
      <c r="D482" s="1"/>
      <c r="E482" s="1"/>
      <c r="F482" s="1"/>
      <c r="G482" s="1"/>
      <c r="H482" s="1"/>
    </row>
    <row r="483" spans="1:8">
      <c r="A483" s="1"/>
      <c r="B483" s="1"/>
      <c r="C483" s="1"/>
      <c r="D483" s="1"/>
      <c r="E483" s="1"/>
      <c r="F483" s="1"/>
      <c r="G483" s="1"/>
      <c r="H483" s="1"/>
    </row>
    <row r="484" spans="1:8">
      <c r="A484" s="1"/>
      <c r="B484" s="1"/>
      <c r="C484" s="1"/>
      <c r="D484" s="1"/>
      <c r="E484" s="1"/>
      <c r="F484" s="1"/>
      <c r="G484" s="1"/>
      <c r="H484" s="1"/>
    </row>
    <row r="485" spans="1:8">
      <c r="A485" s="1"/>
      <c r="B485" s="1"/>
      <c r="C485" s="1"/>
      <c r="D485" s="1"/>
      <c r="E485" s="1"/>
      <c r="F485" s="1"/>
      <c r="G485" s="1"/>
      <c r="H485" s="1"/>
    </row>
    <row r="486" spans="1:8">
      <c r="A486" s="1"/>
      <c r="B486" s="1"/>
      <c r="C486" s="1"/>
      <c r="D486" s="1"/>
      <c r="E486" s="1"/>
      <c r="F486" s="1"/>
      <c r="G486" s="1"/>
      <c r="H486" s="1"/>
    </row>
    <row r="487" spans="1:8">
      <c r="A487" s="1"/>
      <c r="B487" s="1"/>
      <c r="C487" s="1"/>
      <c r="D487" s="1"/>
      <c r="E487" s="1"/>
      <c r="F487" s="1"/>
      <c r="G487" s="1"/>
      <c r="H487" s="1"/>
    </row>
    <row r="488" spans="1:8">
      <c r="A488" s="1"/>
      <c r="B488" s="1"/>
      <c r="C488" s="1"/>
      <c r="D488" s="1"/>
      <c r="E488" s="1"/>
      <c r="F488" s="1"/>
      <c r="G488" s="1"/>
      <c r="H488" s="1"/>
    </row>
    <row r="489" spans="1:8">
      <c r="A489" s="1"/>
      <c r="B489" s="1"/>
      <c r="C489" s="1"/>
      <c r="D489" s="1"/>
      <c r="E489" s="1"/>
      <c r="F489" s="1"/>
      <c r="G489" s="1"/>
      <c r="H489" s="1"/>
    </row>
    <row r="490" spans="1:8">
      <c r="A490" s="1"/>
      <c r="B490" s="1"/>
      <c r="C490" s="1"/>
      <c r="D490" s="1"/>
      <c r="E490" s="1"/>
      <c r="F490" s="1"/>
      <c r="G490" s="1"/>
      <c r="H490" s="1"/>
    </row>
    <row r="491" spans="1:8">
      <c r="A491" s="1"/>
      <c r="B491" s="1"/>
      <c r="C491" s="1"/>
      <c r="D491" s="1"/>
      <c r="E491" s="1"/>
      <c r="F491" s="1"/>
      <c r="G491" s="1"/>
      <c r="H491" s="1"/>
    </row>
    <row r="492" spans="1:8">
      <c r="A492" s="1"/>
      <c r="B492" s="1"/>
      <c r="C492" s="1"/>
      <c r="D492" s="1"/>
      <c r="E492" s="1"/>
      <c r="F492" s="1"/>
      <c r="G492" s="1"/>
      <c r="H492" s="1"/>
    </row>
    <row r="493" spans="1:8">
      <c r="A493" s="1"/>
      <c r="B493" s="1"/>
      <c r="C493" s="1"/>
      <c r="D493" s="1"/>
      <c r="E493" s="1"/>
      <c r="F493" s="1"/>
      <c r="G493" s="1"/>
      <c r="H493" s="1"/>
    </row>
    <row r="494" spans="1:8">
      <c r="A494" s="1"/>
      <c r="B494" s="1"/>
      <c r="C494" s="1"/>
      <c r="D494" s="1"/>
      <c r="E494" s="1"/>
      <c r="F494" s="1"/>
      <c r="G494" s="1"/>
      <c r="H494" s="1"/>
    </row>
    <row r="495" spans="1:8">
      <c r="A495" s="1"/>
      <c r="B495" s="1"/>
      <c r="C495" s="1"/>
      <c r="D495" s="1"/>
      <c r="E495" s="1"/>
      <c r="F495" s="1"/>
      <c r="G495" s="1"/>
      <c r="H495" s="1"/>
    </row>
    <row r="496" spans="1:8">
      <c r="A496" s="1"/>
      <c r="B496" s="1"/>
      <c r="C496" s="1"/>
      <c r="D496" s="1"/>
      <c r="E496" s="1"/>
      <c r="F496" s="1"/>
      <c r="G496" s="1"/>
      <c r="H496" s="1"/>
    </row>
    <row r="497" spans="1:8">
      <c r="A497" s="1"/>
      <c r="B497" s="1"/>
      <c r="C497" s="1"/>
      <c r="D497" s="1"/>
      <c r="E497" s="1"/>
      <c r="F497" s="1"/>
      <c r="G497" s="1"/>
      <c r="H497" s="1"/>
    </row>
    <row r="498" spans="1:8">
      <c r="A498" s="1"/>
      <c r="B498" s="1"/>
      <c r="C498" s="1"/>
      <c r="D498" s="1"/>
      <c r="E498" s="1"/>
      <c r="F498" s="1"/>
      <c r="G498" s="1"/>
      <c r="H498" s="1"/>
    </row>
    <row r="499" spans="1:8">
      <c r="A499" s="1"/>
      <c r="B499" s="1"/>
      <c r="C499" s="1"/>
      <c r="D499" s="1"/>
      <c r="E499" s="1"/>
      <c r="F499" s="1"/>
      <c r="G499" s="1"/>
      <c r="H499" s="1"/>
    </row>
    <row r="500" spans="1:8">
      <c r="A500" s="1"/>
      <c r="B500" s="1"/>
      <c r="C500" s="1"/>
      <c r="D500" s="1"/>
      <c r="E500" s="1"/>
      <c r="F500" s="1"/>
      <c r="G500" s="1"/>
      <c r="H500" s="1"/>
    </row>
    <row r="501" spans="1:8">
      <c r="A501" s="1"/>
      <c r="B501" s="1"/>
      <c r="C501" s="1"/>
      <c r="D501" s="1"/>
      <c r="E501" s="1"/>
      <c r="F501" s="1"/>
      <c r="G501" s="1"/>
      <c r="H501" s="1"/>
    </row>
    <row r="502" spans="1:8">
      <c r="A502" s="1"/>
      <c r="B502" s="1"/>
      <c r="C502" s="1"/>
      <c r="D502" s="1"/>
      <c r="E502" s="1"/>
      <c r="F502" s="1"/>
      <c r="G502" s="1"/>
      <c r="H502" s="1"/>
    </row>
    <row r="503" spans="1:8">
      <c r="A503" s="1"/>
      <c r="B503" s="1"/>
      <c r="C503" s="1"/>
      <c r="D503" s="1"/>
      <c r="E503" s="1"/>
      <c r="F503" s="1"/>
      <c r="G503" s="1"/>
      <c r="H503" s="1"/>
    </row>
    <row r="504" spans="1:8">
      <c r="A504" s="1"/>
      <c r="B504" s="1"/>
      <c r="C504" s="1"/>
      <c r="D504" s="1"/>
      <c r="E504" s="1"/>
      <c r="F504" s="1"/>
      <c r="G504" s="1"/>
      <c r="H504" s="1"/>
    </row>
    <row r="505" spans="1:8">
      <c r="A505" s="1"/>
      <c r="B505" s="1"/>
      <c r="C505" s="1"/>
      <c r="D505" s="1"/>
      <c r="E505" s="1"/>
      <c r="F505" s="1"/>
      <c r="G505" s="1"/>
      <c r="H505" s="1"/>
    </row>
    <row r="506" spans="1:8">
      <c r="A506" s="1"/>
      <c r="B506" s="1"/>
      <c r="C506" s="1"/>
      <c r="D506" s="1"/>
      <c r="E506" s="1"/>
      <c r="F506" s="1"/>
      <c r="G506" s="1"/>
      <c r="H506" s="1"/>
    </row>
    <row r="507" spans="1:8">
      <c r="A507" s="1"/>
      <c r="B507" s="1"/>
      <c r="C507" s="1"/>
      <c r="D507" s="1"/>
      <c r="E507" s="1"/>
      <c r="F507" s="1"/>
      <c r="G507" s="1"/>
      <c r="H507" s="1"/>
    </row>
    <row r="508" spans="1:8">
      <c r="A508" s="1"/>
      <c r="B508" s="1"/>
      <c r="C508" s="1"/>
      <c r="D508" s="1"/>
      <c r="E508" s="1"/>
      <c r="F508" s="1"/>
      <c r="G508" s="1"/>
      <c r="H508" s="1"/>
    </row>
    <row r="509" spans="1:8">
      <c r="A509" s="1"/>
      <c r="B509" s="1"/>
      <c r="C509" s="1"/>
      <c r="D509" s="1"/>
      <c r="E509" s="1"/>
      <c r="F509" s="1"/>
      <c r="G509" s="1"/>
      <c r="H509" s="1"/>
    </row>
    <row r="510" spans="1:8">
      <c r="A510" s="1"/>
      <c r="B510" s="1"/>
      <c r="C510" s="1"/>
      <c r="D510" s="1"/>
      <c r="E510" s="1"/>
      <c r="F510" s="1"/>
      <c r="G510" s="1"/>
      <c r="H510" s="1"/>
    </row>
    <row r="511" spans="1:8">
      <c r="A511" s="1"/>
      <c r="B511" s="1"/>
      <c r="C511" s="1"/>
      <c r="D511" s="1"/>
      <c r="E511" s="1"/>
      <c r="F511" s="1"/>
      <c r="G511" s="1"/>
      <c r="H511" s="1"/>
    </row>
    <row r="512" spans="1:8">
      <c r="A512" s="1"/>
      <c r="B512" s="1"/>
      <c r="C512" s="1"/>
      <c r="D512" s="1"/>
      <c r="E512" s="1"/>
      <c r="F512" s="1"/>
      <c r="G512" s="1"/>
      <c r="H512" s="1"/>
    </row>
    <row r="513" spans="1:8">
      <c r="A513" s="1"/>
      <c r="B513" s="1"/>
      <c r="C513" s="1"/>
      <c r="D513" s="1"/>
      <c r="E513" s="1"/>
      <c r="F513" s="1"/>
      <c r="G513" s="1"/>
      <c r="H513" s="1"/>
    </row>
    <row r="514" spans="1:8">
      <c r="A514" s="1"/>
      <c r="B514" s="1"/>
      <c r="C514" s="1"/>
      <c r="D514" s="1"/>
      <c r="E514" s="1"/>
      <c r="F514" s="1"/>
      <c r="G514" s="1"/>
      <c r="H514" s="1"/>
    </row>
    <row r="515" spans="1:8">
      <c r="A515" s="1"/>
      <c r="B515" s="1"/>
      <c r="C515" s="1"/>
      <c r="D515" s="1"/>
      <c r="E515" s="1"/>
      <c r="F515" s="1"/>
      <c r="G515" s="1"/>
      <c r="H515" s="1"/>
    </row>
    <row r="516" spans="1:8">
      <c r="A516" s="1"/>
      <c r="B516" s="1"/>
      <c r="C516" s="1"/>
      <c r="D516" s="1"/>
      <c r="E516" s="1"/>
      <c r="F516" s="1"/>
      <c r="G516" s="1"/>
      <c r="H516" s="1"/>
    </row>
    <row r="517" spans="1:8">
      <c r="A517" s="1"/>
      <c r="B517" s="1"/>
      <c r="C517" s="1"/>
      <c r="D517" s="1"/>
      <c r="E517" s="1"/>
      <c r="F517" s="1"/>
      <c r="G517" s="1"/>
      <c r="H517" s="1"/>
    </row>
    <row r="518" spans="1:8">
      <c r="A518" s="1"/>
      <c r="B518" s="1"/>
      <c r="C518" s="1"/>
      <c r="D518" s="1"/>
      <c r="E518" s="1"/>
      <c r="F518" s="1"/>
      <c r="G518" s="1"/>
      <c r="H518" s="1"/>
    </row>
    <row r="519" spans="1:8">
      <c r="A519" s="1"/>
      <c r="B519" s="1"/>
      <c r="C519" s="1"/>
      <c r="D519" s="1"/>
      <c r="E519" s="1"/>
      <c r="F519" s="1"/>
      <c r="G519" s="1"/>
      <c r="H519" s="1"/>
    </row>
    <row r="520" spans="1:8">
      <c r="A520" s="1"/>
      <c r="B520" s="1"/>
      <c r="C520" s="1"/>
      <c r="D520" s="1"/>
      <c r="E520" s="1"/>
      <c r="F520" s="1"/>
      <c r="G520" s="1"/>
      <c r="H520" s="1"/>
    </row>
    <row r="521" spans="1:8">
      <c r="A521" s="1"/>
      <c r="B521" s="1"/>
      <c r="C521" s="1"/>
      <c r="D521" s="1"/>
      <c r="E521" s="1"/>
      <c r="F521" s="1"/>
      <c r="G521" s="1"/>
      <c r="H521" s="1"/>
    </row>
    <row r="522" spans="1:8">
      <c r="A522" s="1"/>
      <c r="B522" s="1"/>
      <c r="C522" s="1"/>
      <c r="D522" s="1"/>
      <c r="E522" s="1"/>
      <c r="F522" s="1"/>
      <c r="G522" s="1"/>
      <c r="H522" s="1"/>
    </row>
    <row r="523" spans="1:8">
      <c r="A523" s="1"/>
      <c r="B523" s="1"/>
      <c r="C523" s="1"/>
      <c r="D523" s="1"/>
      <c r="E523" s="1"/>
      <c r="F523" s="1"/>
      <c r="G523" s="1"/>
      <c r="H523" s="1"/>
    </row>
    <row r="524" spans="1:8">
      <c r="A524" s="1"/>
      <c r="B524" s="1"/>
      <c r="C524" s="1"/>
      <c r="D524" s="1"/>
      <c r="E524" s="1"/>
      <c r="F524" s="1"/>
      <c r="G524" s="1"/>
      <c r="H524" s="1"/>
    </row>
    <row r="525" spans="1:8">
      <c r="A525" s="1"/>
      <c r="B525" s="1"/>
      <c r="C525" s="1"/>
      <c r="D525" s="1"/>
      <c r="E525" s="1"/>
      <c r="F525" s="1"/>
      <c r="G525" s="1"/>
      <c r="H525" s="1"/>
    </row>
    <row r="526" spans="1:8">
      <c r="A526" s="1"/>
      <c r="B526" s="1"/>
      <c r="C526" s="1"/>
      <c r="D526" s="1"/>
      <c r="E526" s="1"/>
      <c r="F526" s="1"/>
      <c r="G526" s="1"/>
      <c r="H526" s="1"/>
    </row>
    <row r="527" spans="1:8">
      <c r="A527" s="1"/>
      <c r="B527" s="1"/>
      <c r="C527" s="1"/>
      <c r="D527" s="1"/>
      <c r="E527" s="1"/>
      <c r="F527" s="1"/>
      <c r="G527" s="1"/>
      <c r="H527" s="1"/>
    </row>
    <row r="528" spans="1:8">
      <c r="A528" s="1"/>
      <c r="B528" s="1"/>
      <c r="C528" s="1"/>
      <c r="D528" s="1"/>
      <c r="E528" s="1"/>
      <c r="F528" s="1"/>
      <c r="G528" s="1"/>
      <c r="H528" s="1"/>
    </row>
    <row r="529" spans="1:8">
      <c r="A529" s="1"/>
      <c r="B529" s="1"/>
      <c r="C529" s="1"/>
      <c r="D529" s="1"/>
      <c r="E529" s="1"/>
      <c r="F529" s="1"/>
      <c r="G529" s="1"/>
      <c r="H529" s="1"/>
    </row>
    <row r="530" spans="1:8">
      <c r="A530" s="1"/>
      <c r="B530" s="1"/>
      <c r="C530" s="1"/>
      <c r="D530" s="1"/>
      <c r="E530" s="1"/>
      <c r="F530" s="1"/>
      <c r="G530" s="1"/>
      <c r="H530" s="1"/>
    </row>
    <row r="531" spans="1:8">
      <c r="A531" s="1"/>
      <c r="B531" s="1"/>
      <c r="C531" s="1"/>
      <c r="D531" s="1"/>
      <c r="E531" s="1"/>
      <c r="F531" s="1"/>
      <c r="G531" s="1"/>
      <c r="H531" s="1"/>
    </row>
    <row r="532" spans="1:8">
      <c r="A532" s="1"/>
      <c r="B532" s="1"/>
      <c r="C532" s="1"/>
      <c r="D532" s="1"/>
      <c r="E532" s="1"/>
      <c r="F532" s="1"/>
      <c r="G532" s="1"/>
      <c r="H532" s="1"/>
    </row>
    <row r="533" spans="1:8">
      <c r="A533" s="1"/>
      <c r="B533" s="1"/>
      <c r="C533" s="1"/>
      <c r="D533" s="1"/>
      <c r="E533" s="1"/>
      <c r="F533" s="1"/>
      <c r="G533" s="1"/>
      <c r="H533" s="1"/>
    </row>
    <row r="534" spans="1:8">
      <c r="A534" s="1"/>
      <c r="B534" s="1"/>
      <c r="C534" s="1"/>
      <c r="D534" s="1"/>
      <c r="E534" s="1"/>
      <c r="F534" s="1"/>
      <c r="G534" s="1"/>
      <c r="H534" s="1"/>
    </row>
    <row r="535" spans="1:8">
      <c r="A535" s="1"/>
      <c r="B535" s="1"/>
      <c r="C535" s="1"/>
      <c r="D535" s="1"/>
      <c r="E535" s="1"/>
      <c r="F535" s="1"/>
      <c r="G535" s="1"/>
      <c r="H535" s="1"/>
    </row>
    <row r="536" spans="1:8">
      <c r="A536" s="1"/>
      <c r="B536" s="1"/>
      <c r="C536" s="1"/>
      <c r="D536" s="1"/>
      <c r="E536" s="1"/>
      <c r="F536" s="1"/>
      <c r="G536" s="1"/>
      <c r="H536" s="1"/>
    </row>
    <row r="537" spans="1:8">
      <c r="A537" s="1"/>
      <c r="B537" s="1"/>
      <c r="C537" s="1"/>
      <c r="D537" s="1"/>
      <c r="E537" s="1"/>
      <c r="F537" s="1"/>
      <c r="G537" s="1"/>
      <c r="H537" s="1"/>
    </row>
    <row r="538" spans="1:8">
      <c r="A538" s="1"/>
      <c r="B538" s="1"/>
      <c r="C538" s="1"/>
      <c r="D538" s="1"/>
      <c r="E538" s="1"/>
      <c r="F538" s="1"/>
      <c r="G538" s="1"/>
      <c r="H538" s="1"/>
    </row>
    <row r="539" spans="1:8">
      <c r="A539" s="1"/>
      <c r="B539" s="1"/>
      <c r="C539" s="1"/>
      <c r="D539" s="1"/>
      <c r="E539" s="1"/>
      <c r="F539" s="1"/>
      <c r="G539" s="1"/>
      <c r="H539" s="1"/>
    </row>
    <row r="540" spans="1:8">
      <c r="A540" s="1"/>
      <c r="B540" s="1"/>
      <c r="C540" s="1"/>
      <c r="D540" s="1"/>
      <c r="E540" s="1"/>
      <c r="F540" s="1"/>
      <c r="G540" s="1"/>
      <c r="H540" s="1"/>
    </row>
    <row r="541" spans="1:8">
      <c r="A541" s="1"/>
      <c r="B541" s="1"/>
      <c r="C541" s="1"/>
      <c r="D541" s="1"/>
      <c r="E541" s="1"/>
      <c r="F541" s="1"/>
      <c r="G541" s="1"/>
      <c r="H541" s="1"/>
    </row>
    <row r="542" spans="1:8">
      <c r="A542" s="1"/>
      <c r="B542" s="1"/>
      <c r="C542" s="1"/>
      <c r="D542" s="1"/>
      <c r="E542" s="1"/>
      <c r="F542" s="1"/>
      <c r="G542" s="1"/>
      <c r="H542" s="1"/>
    </row>
    <row r="543" spans="1:8">
      <c r="A543" s="1"/>
      <c r="B543" s="1"/>
      <c r="C543" s="1"/>
      <c r="D543" s="1"/>
      <c r="E543" s="1"/>
      <c r="F543" s="1"/>
      <c r="G543" s="1"/>
      <c r="H543" s="1"/>
    </row>
    <row r="544" spans="1:8">
      <c r="A544" s="1"/>
      <c r="B544" s="1"/>
      <c r="C544" s="1"/>
      <c r="D544" s="1"/>
      <c r="E544" s="1"/>
      <c r="F544" s="1"/>
      <c r="G544" s="1"/>
      <c r="H544" s="1"/>
    </row>
    <row r="545" spans="1:8">
      <c r="A545" s="1"/>
      <c r="B545" s="1"/>
      <c r="C545" s="1"/>
      <c r="D545" s="1"/>
      <c r="E545" s="1"/>
      <c r="F545" s="1"/>
      <c r="G545" s="1"/>
      <c r="H545" s="1"/>
    </row>
    <row r="546" spans="1:8">
      <c r="A546" s="1"/>
      <c r="B546" s="1"/>
      <c r="C546" s="1"/>
      <c r="D546" s="1"/>
      <c r="E546" s="1"/>
      <c r="F546" s="1"/>
      <c r="G546" s="1"/>
      <c r="H546" s="1"/>
    </row>
    <row r="547" spans="1:8">
      <c r="A547" s="1"/>
      <c r="B547" s="1"/>
      <c r="C547" s="1"/>
      <c r="D547" s="1"/>
      <c r="E547" s="1"/>
      <c r="F547" s="1"/>
      <c r="G547" s="1"/>
      <c r="H547" s="1"/>
    </row>
    <row r="548" spans="1:8">
      <c r="A548" s="1"/>
      <c r="B548" s="1"/>
      <c r="C548" s="1"/>
      <c r="D548" s="1"/>
      <c r="E548" s="1"/>
      <c r="F548" s="1"/>
      <c r="G548" s="1"/>
      <c r="H548" s="1"/>
    </row>
    <row r="549" spans="1:8">
      <c r="A549" s="1"/>
      <c r="B549" s="1"/>
      <c r="C549" s="1"/>
      <c r="D549" s="1"/>
      <c r="E549" s="1"/>
      <c r="F549" s="1"/>
      <c r="G549" s="1"/>
      <c r="H549" s="1"/>
    </row>
    <row r="550" spans="1:8">
      <c r="A550" s="1"/>
      <c r="B550" s="1"/>
      <c r="C550" s="1"/>
      <c r="D550" s="1"/>
      <c r="E550" s="1"/>
      <c r="F550" s="1"/>
      <c r="G550" s="1"/>
      <c r="H550" s="1"/>
    </row>
    <row r="551" spans="1:8">
      <c r="A551" s="1"/>
      <c r="B551" s="1"/>
      <c r="C551" s="1"/>
      <c r="D551" s="1"/>
      <c r="E551" s="1"/>
      <c r="F551" s="1"/>
      <c r="G551" s="1"/>
      <c r="H551" s="1"/>
    </row>
    <row r="552" spans="1:8">
      <c r="A552" s="1"/>
      <c r="B552" s="1"/>
      <c r="C552" s="1"/>
      <c r="D552" s="1"/>
      <c r="E552" s="1"/>
      <c r="F552" s="1"/>
      <c r="G552" s="1"/>
      <c r="H552" s="1"/>
    </row>
    <row r="553" spans="1:8">
      <c r="A553" s="1"/>
      <c r="B553" s="1"/>
      <c r="C553" s="1"/>
      <c r="D553" s="1"/>
      <c r="E553" s="1"/>
      <c r="F553" s="1"/>
      <c r="G553" s="1"/>
      <c r="H553" s="1"/>
    </row>
    <row r="554" spans="1:8">
      <c r="A554" s="1"/>
      <c r="B554" s="1"/>
      <c r="C554" s="1"/>
      <c r="D554" s="1"/>
      <c r="E554" s="1"/>
      <c r="F554" s="1"/>
      <c r="G554" s="1"/>
      <c r="H554" s="1"/>
    </row>
    <row r="555" spans="1:8">
      <c r="A555" s="1"/>
      <c r="B555" s="1"/>
      <c r="C555" s="1"/>
      <c r="D555" s="1"/>
      <c r="E555" s="1"/>
      <c r="F555" s="1"/>
      <c r="G555" s="1"/>
      <c r="H555" s="1"/>
    </row>
    <row r="556" spans="1:8">
      <c r="A556" s="1"/>
      <c r="B556" s="1"/>
      <c r="C556" s="1"/>
      <c r="D556" s="1"/>
      <c r="E556" s="1"/>
      <c r="F556" s="1"/>
      <c r="G556" s="1"/>
      <c r="H556" s="1"/>
    </row>
    <row r="557" spans="1:8">
      <c r="A557" s="1"/>
      <c r="B557" s="1"/>
      <c r="C557" s="1"/>
      <c r="D557" s="1"/>
      <c r="E557" s="1"/>
      <c r="F557" s="1"/>
      <c r="G557" s="1"/>
      <c r="H557" s="1"/>
    </row>
    <row r="558" spans="1:8">
      <c r="A558" s="1"/>
      <c r="B558" s="1"/>
      <c r="C558" s="1"/>
      <c r="D558" s="1"/>
      <c r="E558" s="1"/>
      <c r="F558" s="1"/>
      <c r="G558" s="1"/>
      <c r="H558" s="1"/>
    </row>
    <row r="559" spans="1:8">
      <c r="A559" s="1"/>
      <c r="B559" s="1"/>
      <c r="C559" s="1"/>
      <c r="D559" s="1"/>
      <c r="E559" s="1"/>
      <c r="F559" s="1"/>
      <c r="G559" s="1"/>
      <c r="H559" s="1"/>
    </row>
    <row r="560" spans="1:8">
      <c r="A560" s="1"/>
      <c r="B560" s="1"/>
      <c r="C560" s="1"/>
      <c r="D560" s="1"/>
      <c r="E560" s="1"/>
      <c r="F560" s="1"/>
      <c r="G560" s="1"/>
      <c r="H560" s="1"/>
    </row>
    <row r="561" spans="1:8">
      <c r="A561" s="1"/>
      <c r="B561" s="1"/>
      <c r="C561" s="1"/>
      <c r="D561" s="1"/>
      <c r="E561" s="1"/>
      <c r="F561" s="1"/>
      <c r="G561" s="1"/>
      <c r="H561" s="1"/>
    </row>
    <row r="562" spans="1:8">
      <c r="A562" s="1"/>
      <c r="B562" s="1"/>
      <c r="C562" s="1"/>
      <c r="D562" s="1"/>
      <c r="E562" s="1"/>
      <c r="F562" s="1"/>
      <c r="G562" s="1"/>
      <c r="H562" s="1"/>
    </row>
    <row r="563" spans="1:8">
      <c r="A563" s="1"/>
      <c r="B563" s="1"/>
      <c r="C563" s="1"/>
      <c r="D563" s="1"/>
      <c r="E563" s="1"/>
      <c r="F563" s="1"/>
      <c r="G563" s="1"/>
      <c r="H563" s="1"/>
    </row>
    <row r="564" spans="1:8">
      <c r="A564" s="1"/>
      <c r="B564" s="1"/>
      <c r="C564" s="1"/>
      <c r="D564" s="1"/>
      <c r="E564" s="1"/>
      <c r="F564" s="1"/>
      <c r="G564" s="1"/>
      <c r="H564" s="1"/>
    </row>
    <row r="565" spans="1:8">
      <c r="A565" s="1"/>
      <c r="B565" s="1"/>
      <c r="C565" s="1"/>
      <c r="D565" s="1"/>
      <c r="E565" s="1"/>
      <c r="F565" s="1"/>
      <c r="G565" s="1"/>
      <c r="H565" s="1"/>
    </row>
    <row r="566" spans="1:8">
      <c r="A566" s="1"/>
      <c r="B566" s="1"/>
      <c r="C566" s="1"/>
      <c r="D566" s="1"/>
      <c r="E566" s="1"/>
      <c r="F566" s="1"/>
      <c r="G566" s="1"/>
      <c r="H566" s="1"/>
    </row>
    <row r="567" spans="1:8">
      <c r="A567" s="1"/>
      <c r="B567" s="1"/>
      <c r="C567" s="1"/>
      <c r="D567" s="1"/>
      <c r="E567" s="1"/>
      <c r="F567" s="1"/>
      <c r="G567" s="1"/>
      <c r="H567" s="1"/>
    </row>
    <row r="568" spans="1:8">
      <c r="A568" s="1"/>
      <c r="B568" s="1"/>
      <c r="C568" s="1"/>
      <c r="D568" s="1"/>
      <c r="E568" s="1"/>
      <c r="F568" s="1"/>
      <c r="G568" s="1"/>
      <c r="H568" s="1"/>
    </row>
    <row r="569" spans="1:8">
      <c r="A569" s="1"/>
      <c r="B569" s="1"/>
      <c r="C569" s="1"/>
      <c r="D569" s="1"/>
      <c r="E569" s="1"/>
      <c r="F569" s="1"/>
      <c r="G569" s="1"/>
      <c r="H569" s="1"/>
    </row>
    <row r="570" spans="1:8">
      <c r="A570" s="1"/>
      <c r="B570" s="1"/>
      <c r="C570" s="1"/>
      <c r="D570" s="1"/>
      <c r="E570" s="1"/>
      <c r="F570" s="1"/>
      <c r="G570" s="1"/>
      <c r="H570" s="1"/>
    </row>
    <row r="571" spans="1:8">
      <c r="A571" s="1"/>
      <c r="B571" s="1"/>
      <c r="C571" s="1"/>
      <c r="D571" s="1"/>
      <c r="E571" s="1"/>
      <c r="F571" s="1"/>
      <c r="G571" s="1"/>
      <c r="H571" s="1"/>
    </row>
    <row r="572" spans="1:8">
      <c r="A572" s="1"/>
      <c r="B572" s="1"/>
      <c r="C572" s="1"/>
      <c r="D572" s="1"/>
      <c r="E572" s="1"/>
      <c r="F572" s="1"/>
      <c r="G572" s="1"/>
      <c r="H572" s="1"/>
    </row>
    <row r="573" spans="1:8">
      <c r="A573" s="1"/>
      <c r="B573" s="1"/>
      <c r="C573" s="1"/>
      <c r="D573" s="1"/>
      <c r="E573" s="1"/>
      <c r="F573" s="1"/>
      <c r="G573" s="1"/>
      <c r="H573" s="1"/>
    </row>
    <row r="574" spans="1:8">
      <c r="A574" s="1"/>
      <c r="B574" s="1"/>
      <c r="C574" s="1"/>
      <c r="D574" s="1"/>
      <c r="E574" s="1"/>
      <c r="F574" s="1"/>
      <c r="G574" s="1"/>
      <c r="H574" s="1"/>
    </row>
    <row r="575" spans="1:8">
      <c r="A575" s="1"/>
      <c r="B575" s="1"/>
      <c r="C575" s="1"/>
      <c r="D575" s="1"/>
      <c r="E575" s="1"/>
      <c r="F575" s="1"/>
      <c r="G575" s="1"/>
      <c r="H575" s="1"/>
    </row>
    <row r="576" spans="1:8">
      <c r="A576" s="1"/>
      <c r="B576" s="1"/>
      <c r="C576" s="1"/>
      <c r="D576" s="1"/>
      <c r="E576" s="1"/>
      <c r="F576" s="1"/>
      <c r="G576" s="1"/>
      <c r="H576" s="1"/>
    </row>
    <row r="577" spans="1:8">
      <c r="A577" s="1"/>
      <c r="B577" s="1"/>
      <c r="C577" s="1"/>
      <c r="D577" s="1"/>
      <c r="E577" s="1"/>
      <c r="F577" s="1"/>
      <c r="G577" s="1"/>
      <c r="H577" s="1"/>
    </row>
    <row r="578" spans="1:8">
      <c r="A578" s="1"/>
      <c r="B578" s="1"/>
      <c r="C578" s="1"/>
      <c r="D578" s="1"/>
      <c r="E578" s="1"/>
      <c r="F578" s="1"/>
      <c r="G578" s="1"/>
      <c r="H578" s="1"/>
    </row>
    <row r="579" spans="1:8">
      <c r="A579" s="1"/>
      <c r="B579" s="1"/>
      <c r="C579" s="1"/>
      <c r="D579" s="1"/>
      <c r="E579" s="1"/>
      <c r="F579" s="1"/>
      <c r="G579" s="1"/>
      <c r="H579" s="1"/>
    </row>
    <row r="580" spans="1:8">
      <c r="A580" s="1"/>
      <c r="B580" s="1"/>
      <c r="C580" s="1"/>
      <c r="D580" s="1"/>
      <c r="E580" s="1"/>
      <c r="F580" s="1"/>
      <c r="G580" s="1"/>
      <c r="H580" s="1"/>
    </row>
    <row r="581" spans="1:8">
      <c r="A581" s="1"/>
      <c r="B581" s="1"/>
      <c r="C581" s="1"/>
      <c r="D581" s="1"/>
      <c r="E581" s="1"/>
      <c r="F581" s="1"/>
      <c r="G581" s="1"/>
      <c r="H581" s="1"/>
    </row>
    <row r="582" spans="1:8">
      <c r="A582" s="1"/>
      <c r="B582" s="1"/>
      <c r="C582" s="1"/>
      <c r="D582" s="1"/>
      <c r="E582" s="1"/>
      <c r="F582" s="1"/>
      <c r="G582" s="1"/>
      <c r="H582" s="1"/>
    </row>
    <row r="583" spans="1:8">
      <c r="A583" s="1"/>
      <c r="B583" s="1"/>
      <c r="C583" s="1"/>
      <c r="D583" s="1"/>
      <c r="E583" s="1"/>
      <c r="F583" s="1"/>
      <c r="G583" s="1"/>
      <c r="H583" s="1"/>
    </row>
    <row r="584" spans="1:8">
      <c r="A584" s="1"/>
      <c r="B584" s="1"/>
      <c r="C584" s="1"/>
      <c r="D584" s="1"/>
      <c r="E584" s="1"/>
      <c r="F584" s="1"/>
      <c r="G584" s="1"/>
      <c r="H584" s="1"/>
    </row>
    <row r="585" spans="1:8">
      <c r="A585" s="1"/>
      <c r="B585" s="1"/>
      <c r="C585" s="1"/>
      <c r="D585" s="1"/>
      <c r="E585" s="1"/>
      <c r="F585" s="1"/>
      <c r="G585" s="1"/>
      <c r="H585" s="1"/>
    </row>
    <row r="586" spans="1:8">
      <c r="A586" s="1"/>
      <c r="B586" s="1"/>
      <c r="C586" s="1"/>
      <c r="D586" s="1"/>
      <c r="E586" s="1"/>
      <c r="F586" s="1"/>
      <c r="G586" s="1"/>
      <c r="H586" s="1"/>
    </row>
    <row r="587" spans="1:8">
      <c r="A587" s="1"/>
      <c r="B587" s="1"/>
      <c r="C587" s="1"/>
      <c r="D587" s="1"/>
      <c r="E587" s="1"/>
      <c r="F587" s="1"/>
      <c r="G587" s="1"/>
      <c r="H587" s="1"/>
    </row>
    <row r="588" spans="1:8">
      <c r="A588" s="1"/>
      <c r="B588" s="1"/>
      <c r="C588" s="1"/>
      <c r="D588" s="1"/>
      <c r="E588" s="1"/>
      <c r="F588" s="1"/>
      <c r="G588" s="1"/>
      <c r="H588" s="1"/>
    </row>
    <row r="589" spans="1:8">
      <c r="A589" s="1"/>
      <c r="B589" s="1"/>
      <c r="C589" s="1"/>
      <c r="D589" s="1"/>
      <c r="E589" s="1"/>
      <c r="F589" s="1"/>
      <c r="G589" s="1"/>
      <c r="H589" s="1"/>
    </row>
    <row r="590" spans="1:8">
      <c r="A590" s="1"/>
      <c r="B590" s="1"/>
      <c r="C590" s="1"/>
      <c r="D590" s="1"/>
      <c r="E590" s="1"/>
      <c r="F590" s="1"/>
      <c r="G590" s="1"/>
      <c r="H590" s="1"/>
    </row>
    <row r="591" spans="1:8">
      <c r="A591" s="1"/>
      <c r="B591" s="1"/>
      <c r="C591" s="1"/>
      <c r="D591" s="1"/>
      <c r="E591" s="1"/>
      <c r="F591" s="1"/>
      <c r="G591" s="1"/>
      <c r="H591" s="1"/>
    </row>
    <row r="592" spans="1:8">
      <c r="A592" s="1"/>
      <c r="B592" s="1"/>
      <c r="C592" s="1"/>
      <c r="D592" s="1"/>
      <c r="E592" s="1"/>
      <c r="F592" s="1"/>
      <c r="G592" s="1"/>
      <c r="H592" s="1"/>
    </row>
    <row r="593" spans="1:8">
      <c r="A593" s="1"/>
      <c r="B593" s="1"/>
      <c r="C593" s="1"/>
      <c r="D593" s="1"/>
      <c r="E593" s="1"/>
      <c r="F593" s="1"/>
      <c r="G593" s="1"/>
      <c r="H593" s="1"/>
    </row>
    <row r="594" spans="1:8">
      <c r="A594" s="1"/>
      <c r="B594" s="1"/>
      <c r="C594" s="1"/>
      <c r="D594" s="1"/>
      <c r="E594" s="1"/>
      <c r="F594" s="1"/>
      <c r="G594" s="1"/>
      <c r="H594" s="1"/>
    </row>
    <row r="595" spans="1:8">
      <c r="A595" s="1"/>
      <c r="B595" s="1"/>
      <c r="C595" s="1"/>
      <c r="D595" s="1"/>
      <c r="E595" s="1"/>
      <c r="F595" s="1"/>
      <c r="G595" s="1"/>
      <c r="H595" s="1"/>
    </row>
    <row r="596" spans="1:8">
      <c r="A596" s="1"/>
      <c r="B596" s="1"/>
      <c r="C596" s="1"/>
      <c r="D596" s="1"/>
      <c r="E596" s="1"/>
      <c r="F596" s="1"/>
      <c r="G596" s="1"/>
      <c r="H596" s="1"/>
    </row>
    <row r="597" spans="1:8">
      <c r="A597" s="1"/>
      <c r="B597" s="1"/>
      <c r="C597" s="1"/>
      <c r="D597" s="1"/>
      <c r="E597" s="1"/>
      <c r="F597" s="1"/>
      <c r="G597" s="1"/>
      <c r="H597" s="1"/>
    </row>
    <row r="598" spans="1:8">
      <c r="A598" s="1"/>
      <c r="B598" s="1"/>
      <c r="C598" s="1"/>
      <c r="D598" s="1"/>
      <c r="E598" s="1"/>
      <c r="F598" s="1"/>
      <c r="G598" s="1"/>
      <c r="H598" s="1"/>
    </row>
    <row r="599" spans="1:8">
      <c r="A599" s="1"/>
      <c r="B599" s="1"/>
      <c r="C599" s="1"/>
      <c r="D599" s="1"/>
      <c r="E599" s="1"/>
      <c r="F599" s="1"/>
      <c r="G599" s="1"/>
      <c r="H599" s="1"/>
    </row>
    <row r="600" spans="1:8">
      <c r="A600" s="1"/>
      <c r="B600" s="1"/>
      <c r="C600" s="1"/>
      <c r="D600" s="1"/>
      <c r="E600" s="1"/>
      <c r="F600" s="1"/>
      <c r="G600" s="1"/>
      <c r="H600" s="1"/>
    </row>
    <row r="601" spans="1:8">
      <c r="A601" s="1"/>
      <c r="B601" s="1"/>
      <c r="C601" s="1"/>
      <c r="D601" s="1"/>
      <c r="E601" s="1"/>
      <c r="F601" s="1"/>
      <c r="G601" s="1"/>
      <c r="H601" s="1"/>
    </row>
    <row r="602" spans="1:8">
      <c r="A602" s="1"/>
      <c r="B602" s="1"/>
      <c r="C602" s="1"/>
      <c r="D602" s="1"/>
      <c r="E602" s="1"/>
      <c r="F602" s="1"/>
      <c r="G602" s="1"/>
      <c r="H602" s="1"/>
    </row>
    <row r="603" spans="1:8">
      <c r="A603" s="1"/>
      <c r="B603" s="1"/>
      <c r="C603" s="1"/>
      <c r="D603" s="1"/>
      <c r="E603" s="1"/>
      <c r="F603" s="1"/>
      <c r="G603" s="1"/>
      <c r="H603" s="1"/>
    </row>
    <row r="604" spans="1:8">
      <c r="A604" s="1"/>
      <c r="B604" s="1"/>
      <c r="C604" s="1"/>
      <c r="D604" s="1"/>
      <c r="E604" s="1"/>
      <c r="F604" s="1"/>
      <c r="G604" s="1"/>
      <c r="H604" s="1"/>
    </row>
    <row r="605" spans="1:8">
      <c r="A605" s="1"/>
      <c r="B605" s="1"/>
      <c r="C605" s="1"/>
      <c r="D605" s="1"/>
      <c r="E605" s="1"/>
      <c r="F605" s="1"/>
      <c r="G605" s="1"/>
      <c r="H605" s="1"/>
    </row>
    <row r="606" spans="1:8">
      <c r="A606" s="1"/>
      <c r="B606" s="1"/>
      <c r="C606" s="1"/>
      <c r="D606" s="1"/>
      <c r="E606" s="1"/>
      <c r="F606" s="1"/>
      <c r="G606" s="1"/>
      <c r="H606" s="1"/>
    </row>
    <row r="607" spans="1:8">
      <c r="A607" s="1"/>
      <c r="B607" s="1"/>
      <c r="C607" s="1"/>
      <c r="D607" s="1"/>
      <c r="E607" s="1"/>
      <c r="F607" s="1"/>
      <c r="G607" s="1"/>
      <c r="H607" s="1"/>
    </row>
    <row r="608" spans="1:8">
      <c r="A608" s="1"/>
      <c r="B608" s="1"/>
      <c r="C608" s="1"/>
      <c r="D608" s="1"/>
      <c r="E608" s="1"/>
      <c r="F608" s="1"/>
      <c r="G608" s="1"/>
      <c r="H608" s="1"/>
    </row>
    <row r="609" spans="1:8">
      <c r="A609" s="1"/>
      <c r="B609" s="1"/>
      <c r="C609" s="1"/>
      <c r="D609" s="1"/>
      <c r="E609" s="1"/>
      <c r="F609" s="1"/>
      <c r="G609" s="1"/>
      <c r="H609" s="1"/>
    </row>
    <row r="610" spans="1:8">
      <c r="A610" s="1"/>
      <c r="B610" s="1"/>
      <c r="C610" s="1"/>
      <c r="D610" s="1"/>
      <c r="E610" s="1"/>
      <c r="F610" s="1"/>
      <c r="G610" s="1"/>
      <c r="H610" s="1"/>
    </row>
    <row r="611" spans="1:8">
      <c r="A611" s="1"/>
      <c r="B611" s="1"/>
      <c r="C611" s="1"/>
      <c r="D611" s="1"/>
      <c r="E611" s="1"/>
      <c r="F611" s="1"/>
      <c r="G611" s="1"/>
      <c r="H611" s="1"/>
    </row>
    <row r="612" spans="1:8">
      <c r="A612" s="1"/>
      <c r="B612" s="1"/>
      <c r="C612" s="1"/>
      <c r="D612" s="1"/>
      <c r="E612" s="1"/>
      <c r="F612" s="1"/>
      <c r="G612" s="1"/>
      <c r="H612" s="1"/>
    </row>
    <row r="613" spans="1:8">
      <c r="A613" s="1"/>
      <c r="B613" s="1"/>
      <c r="C613" s="1"/>
      <c r="D613" s="1"/>
      <c r="E613" s="1"/>
      <c r="F613" s="1"/>
      <c r="G613" s="1"/>
      <c r="H613" s="1"/>
    </row>
    <row r="614" spans="1:8">
      <c r="A614" s="1"/>
      <c r="B614" s="1"/>
      <c r="C614" s="1"/>
      <c r="D614" s="1"/>
      <c r="E614" s="1"/>
      <c r="F614" s="1"/>
      <c r="G614" s="1"/>
      <c r="H614" s="1"/>
    </row>
    <row r="615" spans="1:8">
      <c r="A615" s="1"/>
      <c r="B615" s="1"/>
      <c r="C615" s="1"/>
      <c r="D615" s="1"/>
      <c r="E615" s="1"/>
      <c r="F615" s="1"/>
      <c r="G615" s="1"/>
      <c r="H615" s="1"/>
    </row>
    <row r="616" spans="1:8">
      <c r="A616" s="1"/>
      <c r="B616" s="1"/>
      <c r="C616" s="1"/>
      <c r="D616" s="1"/>
      <c r="E616" s="1"/>
      <c r="F616" s="1"/>
      <c r="G616" s="1"/>
      <c r="H616" s="1"/>
    </row>
    <row r="617" spans="1:8">
      <c r="A617" s="1"/>
      <c r="B617" s="1"/>
      <c r="C617" s="1"/>
      <c r="D617" s="1"/>
      <c r="E617" s="1"/>
      <c r="F617" s="1"/>
      <c r="G617" s="1"/>
      <c r="H617" s="1"/>
    </row>
    <row r="618" spans="1:8">
      <c r="A618" s="1"/>
      <c r="B618" s="1"/>
      <c r="C618" s="1"/>
      <c r="D618" s="1"/>
      <c r="E618" s="1"/>
      <c r="F618" s="1"/>
      <c r="G618" s="1"/>
      <c r="H618" s="1"/>
    </row>
    <row r="619" spans="1:8">
      <c r="A619" s="1"/>
      <c r="B619" s="1"/>
      <c r="C619" s="1"/>
      <c r="D619" s="1"/>
      <c r="E619" s="1"/>
      <c r="F619" s="1"/>
      <c r="G619" s="1"/>
      <c r="H619" s="1"/>
    </row>
    <row r="620" spans="1:8">
      <c r="A620" s="1"/>
      <c r="B620" s="1"/>
      <c r="C620" s="1"/>
      <c r="D620" s="1"/>
      <c r="E620" s="1"/>
      <c r="F620" s="1"/>
      <c r="G620" s="1"/>
      <c r="H620" s="1"/>
    </row>
    <row r="621" spans="1:8">
      <c r="A621" s="1"/>
      <c r="B621" s="1"/>
      <c r="C621" s="1"/>
      <c r="D621" s="1"/>
      <c r="E621" s="1"/>
      <c r="F621" s="1"/>
      <c r="G621" s="1"/>
      <c r="H621" s="1"/>
    </row>
    <row r="622" spans="1:8">
      <c r="A622" s="1"/>
      <c r="B622" s="1"/>
      <c r="C622" s="1"/>
      <c r="D622" s="1"/>
      <c r="E622" s="1"/>
      <c r="F622" s="1"/>
      <c r="G622" s="1"/>
      <c r="H622" s="1"/>
    </row>
    <row r="623" spans="1:8">
      <c r="A623" s="1"/>
      <c r="B623" s="1"/>
      <c r="C623" s="1"/>
      <c r="D623" s="1"/>
      <c r="E623" s="1"/>
      <c r="F623" s="1"/>
      <c r="G623" s="1"/>
      <c r="H623" s="1"/>
    </row>
    <row r="624" spans="1:8">
      <c r="A624" s="1"/>
      <c r="B624" s="1"/>
      <c r="C624" s="1"/>
      <c r="D624" s="1"/>
      <c r="E624" s="1"/>
      <c r="F624" s="1"/>
      <c r="G624" s="1"/>
      <c r="H624" s="1"/>
    </row>
    <row r="625" spans="1:8">
      <c r="A625" s="1"/>
      <c r="B625" s="1"/>
      <c r="C625" s="1"/>
      <c r="D625" s="1"/>
      <c r="E625" s="1"/>
      <c r="F625" s="1"/>
      <c r="G625" s="1"/>
      <c r="H625" s="1"/>
    </row>
    <row r="626" spans="1:8">
      <c r="A626" s="1"/>
      <c r="B626" s="1"/>
      <c r="C626" s="1"/>
      <c r="D626" s="1"/>
      <c r="E626" s="1"/>
      <c r="F626" s="1"/>
      <c r="G626" s="1"/>
      <c r="H626" s="1"/>
    </row>
    <row r="627" spans="1:8">
      <c r="A627" s="1"/>
      <c r="B627" s="1"/>
      <c r="C627" s="1"/>
      <c r="D627" s="1"/>
      <c r="E627" s="1"/>
      <c r="F627" s="1"/>
      <c r="G627" s="1"/>
      <c r="H627" s="1"/>
    </row>
    <row r="628" spans="1:8">
      <c r="A628" s="1"/>
      <c r="B628" s="1"/>
      <c r="C628" s="1"/>
      <c r="D628" s="1"/>
      <c r="E628" s="1"/>
      <c r="F628" s="1"/>
      <c r="G628" s="1"/>
      <c r="H628" s="1"/>
    </row>
    <row r="629" spans="1:8">
      <c r="A629" s="1"/>
      <c r="B629" s="1"/>
      <c r="C629" s="1"/>
      <c r="D629" s="1"/>
      <c r="E629" s="1"/>
      <c r="F629" s="1"/>
      <c r="G629" s="1"/>
      <c r="H629" s="1"/>
    </row>
    <row r="630" spans="1:8">
      <c r="A630" s="1"/>
      <c r="B630" s="1"/>
      <c r="C630" s="1"/>
      <c r="D630" s="1"/>
      <c r="E630" s="1"/>
      <c r="F630" s="1"/>
      <c r="G630" s="1"/>
      <c r="H630" s="1"/>
    </row>
    <row r="631" spans="1:8">
      <c r="A631" s="1"/>
      <c r="B631" s="1"/>
      <c r="C631" s="1"/>
      <c r="D631" s="1"/>
      <c r="E631" s="1"/>
      <c r="F631" s="1"/>
      <c r="G631" s="1"/>
      <c r="H631" s="1"/>
    </row>
    <row r="632" spans="1:8">
      <c r="A632" s="1"/>
      <c r="B632" s="1"/>
      <c r="C632" s="1"/>
      <c r="D632" s="1"/>
      <c r="E632" s="1"/>
      <c r="F632" s="1"/>
      <c r="G632" s="1"/>
      <c r="H632" s="1"/>
    </row>
    <row r="633" spans="1:8">
      <c r="A633" s="1"/>
      <c r="B633" s="1"/>
      <c r="C633" s="1"/>
      <c r="D633" s="1"/>
      <c r="E633" s="1"/>
      <c r="F633" s="1"/>
      <c r="G633" s="1"/>
      <c r="H633" s="1"/>
    </row>
    <row r="634" spans="1:8">
      <c r="A634" s="1"/>
      <c r="B634" s="1"/>
      <c r="C634" s="1"/>
      <c r="D634" s="1"/>
      <c r="E634" s="1"/>
      <c r="F634" s="1"/>
      <c r="G634" s="1"/>
      <c r="H634" s="1"/>
    </row>
    <row r="635" spans="1:8">
      <c r="A635" s="1"/>
      <c r="B635" s="1"/>
      <c r="C635" s="1"/>
      <c r="D635" s="1"/>
      <c r="E635" s="1"/>
      <c r="F635" s="1"/>
      <c r="G635" s="1"/>
      <c r="H635" s="1"/>
    </row>
    <row r="636" spans="1:8">
      <c r="A636" s="1"/>
      <c r="B636" s="1"/>
      <c r="C636" s="1"/>
      <c r="D636" s="1"/>
      <c r="E636" s="1"/>
      <c r="F636" s="1"/>
      <c r="G636" s="1"/>
      <c r="H636" s="1"/>
    </row>
    <row r="637" spans="1:8">
      <c r="A637" s="1"/>
      <c r="B637" s="1"/>
      <c r="C637" s="1"/>
      <c r="D637" s="1"/>
      <c r="E637" s="1"/>
      <c r="F637" s="1"/>
      <c r="G637" s="1"/>
      <c r="H637" s="1"/>
    </row>
    <row r="638" spans="1:8">
      <c r="A638" s="1"/>
      <c r="B638" s="1"/>
      <c r="C638" s="1"/>
      <c r="D638" s="1"/>
      <c r="E638" s="1"/>
      <c r="F638" s="1"/>
      <c r="G638" s="1"/>
      <c r="H638" s="1"/>
    </row>
    <row r="639" spans="1:8">
      <c r="A639" s="1"/>
      <c r="B639" s="1"/>
      <c r="C639" s="1"/>
      <c r="D639" s="1"/>
      <c r="E639" s="1"/>
      <c r="F639" s="1"/>
      <c r="G639" s="1"/>
      <c r="H639" s="1"/>
    </row>
    <row r="640" spans="1:8">
      <c r="A640" s="1"/>
      <c r="B640" s="1"/>
      <c r="C640" s="1"/>
      <c r="D640" s="1"/>
      <c r="E640" s="1"/>
      <c r="F640" s="1"/>
      <c r="G640" s="1"/>
      <c r="H640" s="1"/>
    </row>
    <row r="641" spans="1:8">
      <c r="A641" s="1"/>
      <c r="B641" s="1"/>
      <c r="C641" s="1"/>
      <c r="D641" s="1"/>
      <c r="E641" s="1"/>
      <c r="F641" s="1"/>
      <c r="G641" s="1"/>
      <c r="H641" s="1"/>
    </row>
    <row r="642" spans="1:8">
      <c r="A642" s="1"/>
      <c r="B642" s="1"/>
      <c r="C642" s="1"/>
      <c r="D642" s="1"/>
      <c r="E642" s="1"/>
      <c r="F642" s="1"/>
      <c r="G642" s="1"/>
      <c r="H642" s="1"/>
    </row>
    <row r="643" spans="1:8">
      <c r="A643" s="1"/>
      <c r="B643" s="1"/>
      <c r="C643" s="1"/>
      <c r="D643" s="1"/>
      <c r="E643" s="1"/>
      <c r="F643" s="1"/>
      <c r="G643" s="1"/>
      <c r="H643" s="1"/>
    </row>
    <row r="644" spans="1:8">
      <c r="A644" s="1"/>
      <c r="B644" s="1"/>
      <c r="C644" s="1"/>
      <c r="D644" s="1"/>
      <c r="E644" s="1"/>
      <c r="F644" s="1"/>
      <c r="G644" s="1"/>
      <c r="H644" s="1"/>
    </row>
    <row r="645" spans="1:8">
      <c r="A645" s="1"/>
      <c r="B645" s="1"/>
      <c r="C645" s="1"/>
      <c r="D645" s="1"/>
      <c r="E645" s="1"/>
      <c r="F645" s="1"/>
      <c r="G645" s="1"/>
      <c r="H645" s="1"/>
    </row>
    <row r="646" spans="1:8">
      <c r="A646" s="1"/>
      <c r="B646" s="1"/>
      <c r="C646" s="1"/>
      <c r="D646" s="1"/>
      <c r="E646" s="1"/>
      <c r="F646" s="1"/>
      <c r="G646" s="1"/>
      <c r="H646" s="1"/>
    </row>
    <row r="647" spans="1:8">
      <c r="A647" s="1"/>
      <c r="B647" s="1"/>
      <c r="C647" s="1"/>
      <c r="D647" s="1"/>
      <c r="E647" s="1"/>
      <c r="F647" s="1"/>
      <c r="G647" s="1"/>
      <c r="H647" s="1"/>
    </row>
    <row r="648" spans="1:8">
      <c r="A648" s="1"/>
      <c r="B648" s="1"/>
      <c r="C648" s="1"/>
      <c r="D648" s="1"/>
      <c r="E648" s="1"/>
      <c r="F648" s="1"/>
      <c r="G648" s="1"/>
      <c r="H648" s="1"/>
    </row>
    <row r="649" spans="1:8">
      <c r="A649" s="1"/>
      <c r="B649" s="1"/>
      <c r="C649" s="1"/>
      <c r="D649" s="1"/>
      <c r="E649" s="1"/>
      <c r="F649" s="1"/>
      <c r="G649" s="1"/>
      <c r="H649" s="1"/>
    </row>
    <row r="650" spans="1:8">
      <c r="A650" s="1"/>
      <c r="B650" s="1"/>
      <c r="C650" s="1"/>
      <c r="D650" s="1"/>
      <c r="E650" s="1"/>
      <c r="F650" s="1"/>
      <c r="G650" s="1"/>
      <c r="H650" s="1"/>
    </row>
    <row r="651" spans="1:8">
      <c r="A651" s="1"/>
      <c r="B651" s="1"/>
      <c r="C651" s="1"/>
      <c r="D651" s="1"/>
      <c r="E651" s="1"/>
      <c r="F651" s="1"/>
      <c r="G651" s="1"/>
      <c r="H651" s="1"/>
    </row>
    <row r="652" spans="1:8">
      <c r="A652" s="1"/>
      <c r="B652" s="1"/>
      <c r="C652" s="1"/>
      <c r="D652" s="1"/>
      <c r="E652" s="1"/>
      <c r="F652" s="1"/>
      <c r="G652" s="1"/>
      <c r="H652" s="1"/>
    </row>
    <row r="653" spans="1:8">
      <c r="A653" s="1"/>
      <c r="B653" s="1"/>
      <c r="C653" s="1"/>
      <c r="D653" s="1"/>
      <c r="E653" s="1"/>
      <c r="F653" s="1"/>
      <c r="G653" s="1"/>
      <c r="H653" s="1"/>
    </row>
    <row r="654" spans="1:8">
      <c r="A654" s="1"/>
      <c r="B654" s="1"/>
      <c r="C654" s="1"/>
      <c r="D654" s="1"/>
      <c r="E654" s="1"/>
      <c r="F654" s="1"/>
      <c r="G654" s="1"/>
      <c r="H654" s="1"/>
    </row>
    <row r="655" spans="1:8">
      <c r="A655" s="1"/>
      <c r="B655" s="1"/>
      <c r="C655" s="1"/>
      <c r="D655" s="1"/>
      <c r="E655" s="1"/>
      <c r="F655" s="1"/>
      <c r="G655" s="1"/>
      <c r="H655" s="1"/>
    </row>
    <row r="656" spans="1:8">
      <c r="A656" s="1"/>
      <c r="B656" s="1"/>
      <c r="C656" s="1"/>
      <c r="D656" s="1"/>
      <c r="E656" s="1"/>
      <c r="F656" s="1"/>
      <c r="G656" s="1"/>
      <c r="H656" s="1"/>
    </row>
    <row r="657" spans="1:8">
      <c r="A657" s="1"/>
      <c r="B657" s="1"/>
      <c r="C657" s="1"/>
      <c r="D657" s="1"/>
      <c r="E657" s="1"/>
      <c r="F657" s="1"/>
      <c r="G657" s="1"/>
      <c r="H657" s="1"/>
    </row>
    <row r="658" spans="1:8">
      <c r="A658" s="1"/>
      <c r="B658" s="1"/>
      <c r="C658" s="1"/>
      <c r="D658" s="1"/>
      <c r="E658" s="1"/>
      <c r="F658" s="1"/>
      <c r="G658" s="1"/>
      <c r="H658" s="1"/>
    </row>
    <row r="659" spans="1:8">
      <c r="A659" s="1"/>
      <c r="B659" s="1"/>
      <c r="C659" s="1"/>
      <c r="D659" s="1"/>
      <c r="E659" s="1"/>
      <c r="F659" s="1"/>
      <c r="G659" s="1"/>
      <c r="H659" s="1"/>
    </row>
    <row r="660" spans="1:8">
      <c r="A660" s="1"/>
      <c r="B660" s="1"/>
      <c r="C660" s="1"/>
      <c r="D660" s="1"/>
      <c r="E660" s="1"/>
      <c r="F660" s="1"/>
      <c r="G660" s="1"/>
      <c r="H660" s="1"/>
    </row>
    <row r="661" spans="1:8">
      <c r="A661" s="1"/>
      <c r="B661" s="1"/>
      <c r="C661" s="1"/>
      <c r="D661" s="1"/>
      <c r="E661" s="1"/>
      <c r="F661" s="1"/>
      <c r="G661" s="1"/>
      <c r="H661" s="1"/>
    </row>
    <row r="662" spans="1:8">
      <c r="A662" s="1"/>
      <c r="B662" s="1"/>
      <c r="C662" s="1"/>
      <c r="D662" s="1"/>
      <c r="E662" s="1"/>
      <c r="F662" s="1"/>
      <c r="G662" s="1"/>
      <c r="H662" s="1"/>
    </row>
    <row r="663" spans="1:8">
      <c r="A663" s="1"/>
      <c r="B663" s="1"/>
      <c r="C663" s="1"/>
      <c r="D663" s="1"/>
      <c r="E663" s="1"/>
      <c r="F663" s="1"/>
      <c r="G663" s="1"/>
      <c r="H663" s="1"/>
    </row>
    <row r="664" spans="1:8">
      <c r="A664" s="1"/>
      <c r="B664" s="1"/>
      <c r="C664" s="1"/>
      <c r="D664" s="1"/>
      <c r="E664" s="1"/>
      <c r="F664" s="1"/>
      <c r="G664" s="1"/>
      <c r="H664" s="1"/>
    </row>
    <row r="665" spans="1:8">
      <c r="A665" s="1"/>
      <c r="B665" s="1"/>
      <c r="C665" s="1"/>
      <c r="D665" s="1"/>
      <c r="E665" s="1"/>
      <c r="F665" s="1"/>
      <c r="G665" s="1"/>
      <c r="H665" s="1"/>
    </row>
    <row r="666" spans="1:8">
      <c r="A666" s="1"/>
      <c r="B666" s="1"/>
      <c r="C666" s="1"/>
      <c r="D666" s="1"/>
      <c r="E666" s="1"/>
      <c r="F666" s="1"/>
      <c r="G666" s="1"/>
      <c r="H666" s="1"/>
    </row>
    <row r="667" spans="1:8">
      <c r="A667" s="1"/>
      <c r="B667" s="1"/>
      <c r="C667" s="1"/>
      <c r="D667" s="1"/>
      <c r="E667" s="1"/>
      <c r="F667" s="1"/>
      <c r="G667" s="1"/>
      <c r="H667" s="1"/>
    </row>
    <row r="668" spans="1:8">
      <c r="A668" s="1"/>
      <c r="B668" s="1"/>
      <c r="C668" s="1"/>
      <c r="D668" s="1"/>
      <c r="E668" s="1"/>
      <c r="F668" s="1"/>
      <c r="G668" s="1"/>
      <c r="H668" s="1"/>
    </row>
    <row r="669" spans="1:8">
      <c r="A669" s="1"/>
      <c r="B669" s="1"/>
      <c r="C669" s="1"/>
      <c r="D669" s="1"/>
      <c r="E669" s="1"/>
      <c r="F669" s="1"/>
      <c r="G669" s="1"/>
      <c r="H669" s="1"/>
    </row>
    <row r="670" spans="1:8">
      <c r="A670" s="1"/>
      <c r="B670" s="1"/>
      <c r="C670" s="1"/>
      <c r="D670" s="1"/>
      <c r="E670" s="1"/>
      <c r="F670" s="1"/>
      <c r="G670" s="1"/>
      <c r="H670" s="1"/>
    </row>
    <row r="671" spans="1:8">
      <c r="A671" s="1"/>
      <c r="B671" s="1"/>
      <c r="C671" s="1"/>
      <c r="D671" s="1"/>
      <c r="E671" s="1"/>
      <c r="F671" s="1"/>
      <c r="G671" s="1"/>
      <c r="H671" s="1"/>
    </row>
    <row r="672" spans="1:8">
      <c r="A672" s="1"/>
      <c r="B672" s="1"/>
      <c r="C672" s="1"/>
      <c r="D672" s="1"/>
      <c r="E672" s="1"/>
      <c r="F672" s="1"/>
      <c r="G672" s="1"/>
      <c r="H672" s="1"/>
    </row>
    <row r="673" spans="1:8">
      <c r="A673" s="1"/>
      <c r="B673" s="1"/>
      <c r="C673" s="1"/>
      <c r="D673" s="1"/>
      <c r="E673" s="1"/>
      <c r="F673" s="1"/>
      <c r="G673" s="1"/>
      <c r="H673" s="1"/>
    </row>
    <row r="674" spans="1:8">
      <c r="A674" s="1"/>
      <c r="B674" s="1"/>
      <c r="C674" s="1"/>
      <c r="D674" s="1"/>
      <c r="E674" s="1"/>
      <c r="F674" s="1"/>
      <c r="G674" s="1"/>
      <c r="H674" s="1"/>
    </row>
    <row r="675" spans="1:8">
      <c r="A675" s="1"/>
      <c r="B675" s="1"/>
      <c r="C675" s="1"/>
      <c r="D675" s="1"/>
      <c r="E675" s="1"/>
      <c r="F675" s="1"/>
      <c r="G675" s="1"/>
      <c r="H675" s="1"/>
    </row>
    <row r="676" spans="1:8">
      <c r="A676" s="1"/>
      <c r="B676" s="1"/>
      <c r="C676" s="1"/>
      <c r="D676" s="1"/>
      <c r="E676" s="1"/>
      <c r="F676" s="1"/>
      <c r="G676" s="1"/>
      <c r="H676" s="1"/>
    </row>
  </sheetData>
  <mergeCells count="12">
    <mergeCell ref="A13:H13"/>
    <mergeCell ref="E270:H270"/>
    <mergeCell ref="E271:H271"/>
    <mergeCell ref="E272:H272"/>
    <mergeCell ref="E273:H273"/>
    <mergeCell ref="A14:E14"/>
    <mergeCell ref="G14:H14"/>
    <mergeCell ref="B11:H11"/>
    <mergeCell ref="A1:H7"/>
    <mergeCell ref="A10:H10"/>
    <mergeCell ref="A8:H8"/>
    <mergeCell ref="A12:H12"/>
  </mergeCells>
  <pageMargins left="0.31496062992125984" right="0" top="0.39370078740157483" bottom="0.59055118110236227" header="0.31496062992125984" footer="0.31496062992125984"/>
  <pageSetup paperSize="9" scale="80" fitToHeight="0" orientation="landscape" r:id="rId1"/>
  <headerFooter>
    <oddFooter xml:space="preserve">&amp;C&amp;"Arial,Normal"&amp;8Prefeitura Municipal da Estância Turística de Paraguaçu Paulista - Av. Siqueira Campos 1430 - CEP 19.703-061 - Fone: (18)3361-9100 - Fax: (18)3361-1331 – Estância Turística de Paraguaçu Paulista - SP </oddFooter>
  </headerFooter>
  <rowBreaks count="13" manualBreakCount="13">
    <brk id="32" max="7" man="1"/>
    <brk id="48" max="7" man="1"/>
    <brk id="58" max="7" man="1"/>
    <brk id="83" max="7" man="1"/>
    <brk id="99" max="7" man="1"/>
    <brk id="119" max="7" man="1"/>
    <brk id="142" max="7" man="1"/>
    <brk id="160" max="7" man="1"/>
    <brk id="178" max="7" man="1"/>
    <brk id="200" max="7" man="1"/>
    <brk id="214" max="7" man="1"/>
    <brk id="227" max="7" man="1"/>
    <brk id="251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54"/>
  <sheetViews>
    <sheetView view="pageBreakPreview" topLeftCell="A231" zoomScale="85" zoomScaleNormal="120" zoomScaleSheetLayoutView="85" workbookViewId="0">
      <selection activeCell="E251" sqref="E251:H254"/>
    </sheetView>
  </sheetViews>
  <sheetFormatPr defaultRowHeight="15"/>
  <cols>
    <col min="1" max="1" width="7.5703125" customWidth="1"/>
    <col min="2" max="3" width="13.28515625" customWidth="1"/>
    <col min="4" max="4" width="79.28515625" customWidth="1"/>
    <col min="6" max="6" width="11" customWidth="1"/>
    <col min="7" max="7" width="16.5703125" bestFit="1" customWidth="1"/>
    <col min="8" max="8" width="25.7109375" bestFit="1" customWidth="1"/>
    <col min="9" max="9" width="23.7109375" bestFit="1" customWidth="1"/>
    <col min="10" max="10" width="14.42578125" bestFit="1" customWidth="1"/>
    <col min="12" max="12" width="17.85546875" customWidth="1"/>
    <col min="13" max="13" width="16" bestFit="1" customWidth="1"/>
  </cols>
  <sheetData>
    <row r="1" spans="1:10" ht="15" customHeight="1">
      <c r="A1" s="278" t="s">
        <v>55</v>
      </c>
      <c r="B1" s="279"/>
      <c r="C1" s="279"/>
      <c r="D1" s="279"/>
      <c r="E1" s="279"/>
      <c r="F1" s="279"/>
      <c r="G1" s="279"/>
      <c r="H1" s="280"/>
    </row>
    <row r="2" spans="1:10" ht="15" customHeight="1">
      <c r="A2" s="281"/>
      <c r="B2" s="282"/>
      <c r="C2" s="282"/>
      <c r="D2" s="282"/>
      <c r="E2" s="282"/>
      <c r="F2" s="282"/>
      <c r="G2" s="282"/>
      <c r="H2" s="283"/>
    </row>
    <row r="3" spans="1:10" ht="15" customHeight="1">
      <c r="A3" s="281"/>
      <c r="B3" s="282"/>
      <c r="C3" s="282"/>
      <c r="D3" s="282"/>
      <c r="E3" s="282"/>
      <c r="F3" s="282"/>
      <c r="G3" s="282"/>
      <c r="H3" s="283"/>
    </row>
    <row r="4" spans="1:10" ht="15" customHeight="1">
      <c r="A4" s="281"/>
      <c r="B4" s="282"/>
      <c r="C4" s="282"/>
      <c r="D4" s="282"/>
      <c r="E4" s="282"/>
      <c r="F4" s="282"/>
      <c r="G4" s="282"/>
      <c r="H4" s="283"/>
    </row>
    <row r="5" spans="1:10" ht="15" customHeight="1">
      <c r="A5" s="281"/>
      <c r="B5" s="282"/>
      <c r="C5" s="282"/>
      <c r="D5" s="282"/>
      <c r="E5" s="282"/>
      <c r="F5" s="282"/>
      <c r="G5" s="282"/>
      <c r="H5" s="283"/>
    </row>
    <row r="6" spans="1:10" ht="15" customHeight="1">
      <c r="A6" s="281"/>
      <c r="B6" s="282"/>
      <c r="C6" s="282"/>
      <c r="D6" s="282"/>
      <c r="E6" s="282"/>
      <c r="F6" s="282"/>
      <c r="G6" s="282"/>
      <c r="H6" s="283"/>
    </row>
    <row r="7" spans="1:10" ht="15" customHeight="1">
      <c r="A7" s="281"/>
      <c r="B7" s="282"/>
      <c r="C7" s="282"/>
      <c r="D7" s="282"/>
      <c r="E7" s="282"/>
      <c r="F7" s="282"/>
      <c r="G7" s="282"/>
      <c r="H7" s="283"/>
    </row>
    <row r="8" spans="1:10" ht="15" customHeight="1">
      <c r="A8" s="287" t="s">
        <v>54</v>
      </c>
      <c r="B8" s="288"/>
      <c r="C8" s="288"/>
      <c r="D8" s="288"/>
      <c r="E8" s="288"/>
      <c r="F8" s="288"/>
      <c r="G8" s="288"/>
      <c r="H8" s="289"/>
    </row>
    <row r="9" spans="1:10" ht="15" customHeight="1">
      <c r="A9" s="70"/>
      <c r="B9" s="71"/>
      <c r="C9" s="71"/>
      <c r="D9" s="71"/>
      <c r="E9" s="71"/>
      <c r="F9" s="71"/>
      <c r="G9" s="71"/>
      <c r="H9" s="72"/>
    </row>
    <row r="10" spans="1:10" ht="15" customHeight="1">
      <c r="A10" s="284" t="s">
        <v>406</v>
      </c>
      <c r="B10" s="285"/>
      <c r="C10" s="285"/>
      <c r="D10" s="285"/>
      <c r="E10" s="285"/>
      <c r="F10" s="285"/>
      <c r="G10" s="285"/>
      <c r="H10" s="286"/>
    </row>
    <row r="11" spans="1:10" ht="15" customHeight="1">
      <c r="A11" s="4"/>
      <c r="B11" s="276"/>
      <c r="C11" s="276"/>
      <c r="D11" s="276"/>
      <c r="E11" s="276"/>
      <c r="F11" s="276"/>
      <c r="G11" s="276"/>
      <c r="H11" s="277"/>
    </row>
    <row r="12" spans="1:10" ht="15" customHeight="1">
      <c r="A12" s="290" t="s">
        <v>602</v>
      </c>
      <c r="B12" s="291"/>
      <c r="C12" s="291"/>
      <c r="D12" s="291"/>
      <c r="E12" s="291"/>
      <c r="F12" s="291"/>
      <c r="G12" s="291"/>
      <c r="H12" s="292"/>
    </row>
    <row r="13" spans="1:10" ht="15" customHeight="1">
      <c r="A13" s="290" t="s">
        <v>393</v>
      </c>
      <c r="B13" s="291"/>
      <c r="C13" s="291"/>
      <c r="D13" s="291"/>
      <c r="E13" s="291"/>
      <c r="F13" s="291"/>
      <c r="G13" s="291"/>
      <c r="H13" s="291"/>
      <c r="I13" s="73"/>
      <c r="J13" s="64"/>
    </row>
    <row r="14" spans="1:10" ht="15" customHeight="1">
      <c r="A14" s="297" t="s">
        <v>771</v>
      </c>
      <c r="B14" s="298"/>
      <c r="C14" s="298"/>
      <c r="D14" s="298"/>
      <c r="E14" s="298"/>
      <c r="F14" s="5"/>
      <c r="G14" s="5"/>
      <c r="H14" s="69" t="s">
        <v>770</v>
      </c>
      <c r="J14" s="64"/>
    </row>
    <row r="15" spans="1:10" ht="25.5">
      <c r="A15" s="8" t="s">
        <v>0</v>
      </c>
      <c r="B15" s="9" t="s">
        <v>1</v>
      </c>
      <c r="C15" s="9" t="s">
        <v>2</v>
      </c>
      <c r="D15" s="8" t="s">
        <v>3</v>
      </c>
      <c r="E15" s="8" t="s">
        <v>4</v>
      </c>
      <c r="F15" s="8" t="s">
        <v>5</v>
      </c>
      <c r="G15" s="315" t="s">
        <v>438</v>
      </c>
      <c r="H15" s="316"/>
    </row>
    <row r="16" spans="1:10">
      <c r="A16" s="8" t="s">
        <v>385</v>
      </c>
      <c r="B16" s="9"/>
      <c r="C16" s="9"/>
      <c r="D16" s="75" t="s">
        <v>386</v>
      </c>
      <c r="E16" s="8"/>
      <c r="F16" s="8"/>
      <c r="G16" s="315"/>
      <c r="H16" s="316"/>
    </row>
    <row r="17" spans="1:13" ht="9" customHeight="1">
      <c r="A17" s="2"/>
      <c r="B17" s="2"/>
      <c r="C17" s="2"/>
      <c r="D17" s="2"/>
      <c r="E17" s="2"/>
      <c r="F17" s="2"/>
      <c r="G17" s="317"/>
      <c r="H17" s="318"/>
    </row>
    <row r="18" spans="1:13">
      <c r="A18" s="10">
        <v>1</v>
      </c>
      <c r="B18" s="3"/>
      <c r="C18" s="3"/>
      <c r="D18" s="10" t="s">
        <v>9</v>
      </c>
      <c r="E18" s="3"/>
      <c r="F18" s="3"/>
      <c r="G18" s="319"/>
      <c r="H18" s="320"/>
      <c r="I18" s="23"/>
    </row>
    <row r="19" spans="1:13" s="41" customFormat="1" ht="28.5" customHeight="1">
      <c r="A19" s="53" t="s">
        <v>8</v>
      </c>
      <c r="B19" s="43" t="s">
        <v>764</v>
      </c>
      <c r="C19" s="38" t="s">
        <v>243</v>
      </c>
      <c r="D19" s="45" t="s">
        <v>242</v>
      </c>
      <c r="E19" s="38" t="s">
        <v>33</v>
      </c>
      <c r="F19" s="36">
        <f>4*1.5</f>
        <v>6</v>
      </c>
      <c r="G19" s="301" t="s">
        <v>407</v>
      </c>
      <c r="H19" s="302"/>
    </row>
    <row r="20" spans="1:13" s="41" customFormat="1" ht="31.5" customHeight="1">
      <c r="A20" s="53" t="s">
        <v>112</v>
      </c>
      <c r="B20" s="43" t="s">
        <v>764</v>
      </c>
      <c r="C20" s="38" t="s">
        <v>113</v>
      </c>
      <c r="D20" s="45" t="s">
        <v>114</v>
      </c>
      <c r="E20" s="38" t="s">
        <v>36</v>
      </c>
      <c r="F20" s="36">
        <f>6+6</f>
        <v>12</v>
      </c>
      <c r="G20" s="301" t="s">
        <v>408</v>
      </c>
      <c r="H20" s="302"/>
    </row>
    <row r="21" spans="1:13" s="41" customFormat="1" ht="30.75" customHeight="1">
      <c r="A21" s="53" t="s">
        <v>118</v>
      </c>
      <c r="B21" s="43" t="s">
        <v>764</v>
      </c>
      <c r="C21" s="38" t="s">
        <v>115</v>
      </c>
      <c r="D21" s="45" t="s">
        <v>116</v>
      </c>
      <c r="E21" s="38" t="s">
        <v>117</v>
      </c>
      <c r="F21" s="36">
        <f>F20*4</f>
        <v>48</v>
      </c>
      <c r="G21" s="301" t="s">
        <v>409</v>
      </c>
      <c r="H21" s="302"/>
    </row>
    <row r="22" spans="1:13" s="41" customFormat="1">
      <c r="A22" s="53" t="s">
        <v>120</v>
      </c>
      <c r="B22" s="43" t="s">
        <v>764</v>
      </c>
      <c r="C22" s="38" t="s">
        <v>119</v>
      </c>
      <c r="D22" s="45" t="s">
        <v>121</v>
      </c>
      <c r="E22" s="38" t="s">
        <v>33</v>
      </c>
      <c r="F22" s="36">
        <f>18.76*2</f>
        <v>37.520000000000003</v>
      </c>
      <c r="G22" s="301" t="s">
        <v>410</v>
      </c>
      <c r="H22" s="302"/>
    </row>
    <row r="23" spans="1:13">
      <c r="A23" s="2"/>
      <c r="B23" s="43"/>
      <c r="C23" s="6"/>
      <c r="D23" s="28"/>
      <c r="E23" s="6"/>
      <c r="F23" s="19"/>
      <c r="G23" s="312"/>
      <c r="H23" s="313"/>
    </row>
    <row r="24" spans="1:13">
      <c r="A24" s="10">
        <v>2</v>
      </c>
      <c r="B24" s="7"/>
      <c r="C24" s="7"/>
      <c r="D24" s="10" t="s">
        <v>56</v>
      </c>
      <c r="E24" s="13"/>
      <c r="F24" s="20"/>
      <c r="G24" s="308"/>
      <c r="H24" s="309"/>
      <c r="I24" s="23"/>
    </row>
    <row r="25" spans="1:13" s="41" customFormat="1" ht="66" customHeight="1">
      <c r="A25" s="37" t="s">
        <v>10</v>
      </c>
      <c r="B25" s="43" t="s">
        <v>764</v>
      </c>
      <c r="C25" s="38" t="s">
        <v>89</v>
      </c>
      <c r="D25" s="45" t="s">
        <v>660</v>
      </c>
      <c r="E25" s="38" t="s">
        <v>34</v>
      </c>
      <c r="F25" s="36">
        <f>(0.5*0.15*2.8*2)+(0.69*2*0.15*4)+(3.14*1.5*0.1*2)</f>
        <v>2.19</v>
      </c>
      <c r="G25" s="301" t="s">
        <v>750</v>
      </c>
      <c r="H25" s="302"/>
    </row>
    <row r="26" spans="1:13" s="41" customFormat="1" ht="29.25">
      <c r="A26" s="37" t="s">
        <v>83</v>
      </c>
      <c r="B26" s="43" t="s">
        <v>764</v>
      </c>
      <c r="C26" s="38" t="s">
        <v>300</v>
      </c>
      <c r="D26" s="45" t="s">
        <v>611</v>
      </c>
      <c r="E26" s="38" t="s">
        <v>34</v>
      </c>
      <c r="F26" s="36">
        <f>((0.25*0.15*4)+(1.81*0.25*0.15*2))*2</f>
        <v>0.57150000000000001</v>
      </c>
      <c r="G26" s="301" t="s">
        <v>674</v>
      </c>
      <c r="H26" s="302"/>
      <c r="I26" s="47"/>
    </row>
    <row r="27" spans="1:13" s="41" customFormat="1" ht="38.25" customHeight="1">
      <c r="A27" s="37" t="s">
        <v>84</v>
      </c>
      <c r="B27" s="43" t="s">
        <v>764</v>
      </c>
      <c r="C27" s="38" t="s">
        <v>197</v>
      </c>
      <c r="D27" s="45" t="s">
        <v>199</v>
      </c>
      <c r="E27" s="38" t="s">
        <v>33</v>
      </c>
      <c r="F27" s="36">
        <f>10.41*2*1.077</f>
        <v>22.42314</v>
      </c>
      <c r="G27" s="301" t="s">
        <v>675</v>
      </c>
      <c r="H27" s="302"/>
      <c r="I27" s="47"/>
    </row>
    <row r="28" spans="1:13" s="41" customFormat="1" ht="34.5" customHeight="1">
      <c r="A28" s="37" t="s">
        <v>85</v>
      </c>
      <c r="B28" s="43" t="s">
        <v>764</v>
      </c>
      <c r="C28" s="38" t="s">
        <v>200</v>
      </c>
      <c r="D28" s="45" t="s">
        <v>201</v>
      </c>
      <c r="E28" s="38" t="s">
        <v>33</v>
      </c>
      <c r="F28" s="36">
        <f>10.41*2*1.077</f>
        <v>22.42314</v>
      </c>
      <c r="G28" s="301" t="s">
        <v>676</v>
      </c>
      <c r="H28" s="302"/>
    </row>
    <row r="29" spans="1:13" s="41" customFormat="1" ht="24" customHeight="1">
      <c r="A29" s="37" t="s">
        <v>86</v>
      </c>
      <c r="B29" s="43" t="s">
        <v>764</v>
      </c>
      <c r="C29" s="38" t="s">
        <v>202</v>
      </c>
      <c r="D29" s="45" t="s">
        <v>203</v>
      </c>
      <c r="E29" s="38" t="s">
        <v>33</v>
      </c>
      <c r="F29" s="36">
        <f>2*0.8*2</f>
        <v>3.2</v>
      </c>
      <c r="G29" s="301" t="s">
        <v>411</v>
      </c>
      <c r="H29" s="302"/>
      <c r="M29" s="50"/>
    </row>
    <row r="30" spans="1:13" s="41" customFormat="1" ht="29.25" customHeight="1">
      <c r="A30" s="37" t="s">
        <v>87</v>
      </c>
      <c r="B30" s="43" t="s">
        <v>764</v>
      </c>
      <c r="C30" s="38" t="s">
        <v>181</v>
      </c>
      <c r="D30" s="45" t="s">
        <v>182</v>
      </c>
      <c r="E30" s="38" t="s">
        <v>36</v>
      </c>
      <c r="F30" s="36">
        <f>2.82*1.077*4</f>
        <v>12.148559999999998</v>
      </c>
      <c r="G30" s="301" t="s">
        <v>624</v>
      </c>
      <c r="H30" s="302"/>
      <c r="M30" s="51"/>
    </row>
    <row r="31" spans="1:13" s="41" customFormat="1" ht="29.25" customHeight="1">
      <c r="A31" s="37" t="s">
        <v>88</v>
      </c>
      <c r="B31" s="43" t="s">
        <v>764</v>
      </c>
      <c r="C31" s="38" t="s">
        <v>204</v>
      </c>
      <c r="D31" s="45" t="s">
        <v>301</v>
      </c>
      <c r="E31" s="38" t="s">
        <v>33</v>
      </c>
      <c r="F31" s="36">
        <f>14.85*3*2+(1.81*4*3)</f>
        <v>110.82</v>
      </c>
      <c r="G31" s="301" t="s">
        <v>738</v>
      </c>
      <c r="H31" s="302"/>
      <c r="M31" s="52"/>
    </row>
    <row r="32" spans="1:13" s="41" customFormat="1" ht="29.25" customHeight="1">
      <c r="A32" s="37" t="s">
        <v>111</v>
      </c>
      <c r="B32" s="43" t="s">
        <v>764</v>
      </c>
      <c r="C32" s="38" t="s">
        <v>198</v>
      </c>
      <c r="D32" s="45" t="s">
        <v>608</v>
      </c>
      <c r="E32" s="38" t="s">
        <v>33</v>
      </c>
      <c r="F32" s="36">
        <f>14.89*2+2.78*2</f>
        <v>35.340000000000003</v>
      </c>
      <c r="G32" s="301" t="s">
        <v>625</v>
      </c>
      <c r="H32" s="302"/>
      <c r="M32" s="52"/>
    </row>
    <row r="33" spans="1:13" s="41" customFormat="1" ht="36" customHeight="1">
      <c r="A33" s="37" t="s">
        <v>219</v>
      </c>
      <c r="B33" s="43" t="s">
        <v>764</v>
      </c>
      <c r="C33" s="57" t="s">
        <v>218</v>
      </c>
      <c r="D33" s="45" t="s">
        <v>220</v>
      </c>
      <c r="E33" s="38" t="s">
        <v>33</v>
      </c>
      <c r="F33" s="36">
        <f>2.1*0.8*2+(6*0.6*1.8)</f>
        <v>9.84</v>
      </c>
      <c r="G33" s="301" t="s">
        <v>626</v>
      </c>
      <c r="H33" s="302"/>
      <c r="M33" s="52"/>
    </row>
    <row r="34" spans="1:13" s="41" customFormat="1" ht="30" customHeight="1">
      <c r="A34" s="37" t="s">
        <v>222</v>
      </c>
      <c r="B34" s="43" t="s">
        <v>764</v>
      </c>
      <c r="C34" s="57" t="s">
        <v>228</v>
      </c>
      <c r="D34" s="45" t="s">
        <v>302</v>
      </c>
      <c r="E34" s="38" t="s">
        <v>33</v>
      </c>
      <c r="F34" s="36">
        <f>(14.89*2)+(2.59*2)+(13.23*2*2)+(2.34*2*2)</f>
        <v>97.24</v>
      </c>
      <c r="G34" s="301" t="s">
        <v>627</v>
      </c>
      <c r="H34" s="302"/>
      <c r="M34" s="52"/>
    </row>
    <row r="35" spans="1:13" s="41" customFormat="1" ht="50.25" customHeight="1">
      <c r="A35" s="37" t="s">
        <v>613</v>
      </c>
      <c r="B35" s="43" t="s">
        <v>764</v>
      </c>
      <c r="C35" s="57" t="s">
        <v>612</v>
      </c>
      <c r="D35" s="45" t="s">
        <v>734</v>
      </c>
      <c r="E35" s="38" t="s">
        <v>34</v>
      </c>
      <c r="F35" s="36">
        <f>(31.75*0.05)+(14.84*2*0.05)+(2.76*2*0.05)+(3.14*1.5*0.1*2)</f>
        <v>4.2895000000000003</v>
      </c>
      <c r="G35" s="301" t="s">
        <v>739</v>
      </c>
      <c r="H35" s="302"/>
      <c r="M35" s="52"/>
    </row>
    <row r="36" spans="1:13" s="41" customFormat="1" ht="30" customHeight="1">
      <c r="A36" s="37" t="s">
        <v>616</v>
      </c>
      <c r="B36" s="43" t="s">
        <v>764</v>
      </c>
      <c r="C36" s="57" t="s">
        <v>614</v>
      </c>
      <c r="D36" s="45" t="s">
        <v>664</v>
      </c>
      <c r="E36" s="38" t="s">
        <v>615</v>
      </c>
      <c r="F36" s="36">
        <v>7</v>
      </c>
      <c r="G36" s="301" t="s">
        <v>677</v>
      </c>
      <c r="H36" s="302"/>
      <c r="M36" s="52"/>
    </row>
    <row r="37" spans="1:13">
      <c r="A37" s="37" t="s">
        <v>619</v>
      </c>
      <c r="B37" s="43" t="s">
        <v>764</v>
      </c>
      <c r="C37" s="57" t="s">
        <v>618</v>
      </c>
      <c r="D37" s="45" t="s">
        <v>617</v>
      </c>
      <c r="E37" s="38" t="s">
        <v>33</v>
      </c>
      <c r="F37" s="36">
        <v>5.6</v>
      </c>
      <c r="G37" s="301" t="s">
        <v>630</v>
      </c>
      <c r="H37" s="302"/>
      <c r="M37" s="35"/>
    </row>
    <row r="38" spans="1:13" ht="23.25" customHeight="1">
      <c r="A38" s="37" t="s">
        <v>623</v>
      </c>
      <c r="B38" s="43" t="s">
        <v>764</v>
      </c>
      <c r="C38" s="57" t="s">
        <v>622</v>
      </c>
      <c r="D38" s="45" t="s">
        <v>628</v>
      </c>
      <c r="E38" s="38" t="s">
        <v>33</v>
      </c>
      <c r="F38" s="36">
        <f>0.86*2</f>
        <v>1.72</v>
      </c>
      <c r="G38" s="301" t="s">
        <v>629</v>
      </c>
      <c r="H38" s="302"/>
      <c r="I38" s="23"/>
      <c r="M38" s="23"/>
    </row>
    <row r="39" spans="1:13" ht="44.25" customHeight="1">
      <c r="A39" s="37" t="s">
        <v>641</v>
      </c>
      <c r="B39" s="43" t="s">
        <v>764</v>
      </c>
      <c r="C39" s="57" t="s">
        <v>639</v>
      </c>
      <c r="D39" s="45" t="s">
        <v>638</v>
      </c>
      <c r="E39" s="38" t="s">
        <v>34</v>
      </c>
      <c r="F39" s="36">
        <f>F25+F26+(F31*0.02)+(F32*0.01)+(F34*0.01)</f>
        <v>6.3036999999999992</v>
      </c>
      <c r="G39" s="301" t="s">
        <v>740</v>
      </c>
      <c r="H39" s="302"/>
      <c r="I39" s="23"/>
      <c r="M39" s="23"/>
    </row>
    <row r="40" spans="1:13" ht="44.25" customHeight="1">
      <c r="A40" s="37" t="s">
        <v>662</v>
      </c>
      <c r="B40" s="43" t="s">
        <v>764</v>
      </c>
      <c r="C40" s="38" t="s">
        <v>40</v>
      </c>
      <c r="D40" s="45" t="s">
        <v>304</v>
      </c>
      <c r="E40" s="38" t="s">
        <v>34</v>
      </c>
      <c r="F40" s="36">
        <f>16.8*0.4*0.25</f>
        <v>1.6800000000000002</v>
      </c>
      <c r="G40" s="301" t="s">
        <v>678</v>
      </c>
      <c r="H40" s="302"/>
      <c r="I40" s="23"/>
      <c r="M40" s="23"/>
    </row>
    <row r="41" spans="1:13" ht="44.25" customHeight="1">
      <c r="A41" s="37" t="s">
        <v>672</v>
      </c>
      <c r="B41" s="43" t="s">
        <v>764</v>
      </c>
      <c r="C41" s="57" t="s">
        <v>661</v>
      </c>
      <c r="D41" s="45" t="s">
        <v>663</v>
      </c>
      <c r="E41" s="38"/>
      <c r="F41" s="36">
        <f>4.2*4</f>
        <v>16.8</v>
      </c>
      <c r="G41" s="301" t="s">
        <v>679</v>
      </c>
      <c r="H41" s="302"/>
      <c r="I41" s="23"/>
      <c r="M41" s="23"/>
    </row>
    <row r="42" spans="1:13" ht="44.25" customHeight="1">
      <c r="A42" s="37" t="s">
        <v>673</v>
      </c>
      <c r="B42" s="43" t="s">
        <v>764</v>
      </c>
      <c r="C42" s="38" t="s">
        <v>388</v>
      </c>
      <c r="D42" s="45" t="s">
        <v>387</v>
      </c>
      <c r="E42" s="38" t="s">
        <v>34</v>
      </c>
      <c r="F42" s="36">
        <f>(2.51*0.6*2)*1.3+F40</f>
        <v>5.5955999999999992</v>
      </c>
      <c r="G42" s="301" t="s">
        <v>680</v>
      </c>
      <c r="H42" s="302"/>
      <c r="I42" s="23"/>
      <c r="M42" s="23"/>
    </row>
    <row r="43" spans="1:13">
      <c r="A43" s="37"/>
      <c r="B43" s="43"/>
      <c r="C43" s="57"/>
      <c r="D43" s="45"/>
      <c r="E43" s="38"/>
      <c r="F43" s="36"/>
      <c r="G43" s="301"/>
      <c r="H43" s="302"/>
      <c r="I43" s="23"/>
      <c r="M43" s="23"/>
    </row>
    <row r="44" spans="1:13">
      <c r="A44" s="10">
        <v>3</v>
      </c>
      <c r="B44" s="7"/>
      <c r="C44" s="7"/>
      <c r="D44" s="10" t="s">
        <v>205</v>
      </c>
      <c r="E44" s="13"/>
      <c r="F44" s="20"/>
      <c r="G44" s="242"/>
      <c r="H44" s="243"/>
      <c r="I44" s="23"/>
      <c r="M44" s="23"/>
    </row>
    <row r="45" spans="1:13" s="41" customFormat="1">
      <c r="A45" s="37" t="s">
        <v>11</v>
      </c>
      <c r="B45" s="43" t="s">
        <v>764</v>
      </c>
      <c r="C45" s="38" t="s">
        <v>231</v>
      </c>
      <c r="D45" s="45" t="s">
        <v>609</v>
      </c>
      <c r="E45" s="38" t="s">
        <v>36</v>
      </c>
      <c r="F45" s="36">
        <f>10*4</f>
        <v>40</v>
      </c>
      <c r="G45" s="303" t="s">
        <v>412</v>
      </c>
      <c r="H45" s="304"/>
      <c r="M45" s="46"/>
    </row>
    <row r="46" spans="1:13" s="41" customFormat="1" ht="28.5" customHeight="1">
      <c r="A46" s="37" t="s">
        <v>90</v>
      </c>
      <c r="B46" s="43" t="s">
        <v>764</v>
      </c>
      <c r="C46" s="38" t="s">
        <v>96</v>
      </c>
      <c r="D46" s="45" t="s">
        <v>303</v>
      </c>
      <c r="E46" s="38" t="s">
        <v>34</v>
      </c>
      <c r="F46" s="36">
        <f>0.6*0.6*0.35*10</f>
        <v>1.26</v>
      </c>
      <c r="G46" s="303" t="s">
        <v>413</v>
      </c>
      <c r="H46" s="304"/>
    </row>
    <row r="47" spans="1:13" s="41" customFormat="1" ht="29.25">
      <c r="A47" s="37" t="s">
        <v>91</v>
      </c>
      <c r="B47" s="43" t="s">
        <v>764</v>
      </c>
      <c r="C47" s="38" t="s">
        <v>39</v>
      </c>
      <c r="D47" s="45" t="s">
        <v>308</v>
      </c>
      <c r="E47" s="38" t="s">
        <v>34</v>
      </c>
      <c r="F47" s="36">
        <f>F46</f>
        <v>1.26</v>
      </c>
      <c r="G47" s="303" t="s">
        <v>413</v>
      </c>
      <c r="H47" s="304"/>
    </row>
    <row r="48" spans="1:13" s="41" customFormat="1">
      <c r="A48" s="37" t="s">
        <v>92</v>
      </c>
      <c r="B48" s="43" t="s">
        <v>764</v>
      </c>
      <c r="C48" s="38" t="s">
        <v>100</v>
      </c>
      <c r="D48" s="45" t="s">
        <v>305</v>
      </c>
      <c r="E48" s="38" t="s">
        <v>99</v>
      </c>
      <c r="F48" s="36">
        <f>F46*60</f>
        <v>75.599999999999994</v>
      </c>
      <c r="G48" s="303" t="s">
        <v>414</v>
      </c>
      <c r="H48" s="304"/>
    </row>
    <row r="49" spans="1:9" s="41" customFormat="1" ht="54.75" customHeight="1">
      <c r="A49" s="37" t="s">
        <v>93</v>
      </c>
      <c r="B49" s="43" t="s">
        <v>764</v>
      </c>
      <c r="C49" s="38" t="s">
        <v>40</v>
      </c>
      <c r="D49" s="45" t="s">
        <v>304</v>
      </c>
      <c r="E49" s="38" t="s">
        <v>34</v>
      </c>
      <c r="F49" s="36">
        <f>(1.7+1.25+3.5+3.15+1.11)*2*0.2*0.3+(0.6*0.6*0.35*10)</f>
        <v>2.5451999999999999</v>
      </c>
      <c r="G49" s="303" t="s">
        <v>681</v>
      </c>
      <c r="H49" s="304"/>
    </row>
    <row r="50" spans="1:9" s="41" customFormat="1" ht="31.5" customHeight="1">
      <c r="A50" s="37" t="s">
        <v>94</v>
      </c>
      <c r="B50" s="43" t="s">
        <v>764</v>
      </c>
      <c r="C50" s="38" t="s">
        <v>96</v>
      </c>
      <c r="D50" s="45" t="s">
        <v>306</v>
      </c>
      <c r="E50" s="38" t="s">
        <v>34</v>
      </c>
      <c r="F50" s="36">
        <f>((1.7+1.25+3.5+3.15+1.11))*2*0.3*0.2</f>
        <v>1.2851999999999999</v>
      </c>
      <c r="G50" s="303" t="s">
        <v>682</v>
      </c>
      <c r="H50" s="304"/>
    </row>
    <row r="51" spans="1:9" s="41" customFormat="1" ht="29.25" customHeight="1">
      <c r="A51" s="37" t="s">
        <v>95</v>
      </c>
      <c r="B51" s="43" t="s">
        <v>764</v>
      </c>
      <c r="C51" s="38" t="s">
        <v>39</v>
      </c>
      <c r="D51" s="45" t="s">
        <v>307</v>
      </c>
      <c r="E51" s="38" t="s">
        <v>34</v>
      </c>
      <c r="F51" s="36">
        <f>F50</f>
        <v>1.2851999999999999</v>
      </c>
      <c r="G51" s="303" t="s">
        <v>682</v>
      </c>
      <c r="H51" s="304"/>
    </row>
    <row r="52" spans="1:9" s="41" customFormat="1" ht="45.75" customHeight="1">
      <c r="A52" s="37" t="s">
        <v>248</v>
      </c>
      <c r="B52" s="43" t="s">
        <v>764</v>
      </c>
      <c r="C52" s="38" t="s">
        <v>98</v>
      </c>
      <c r="D52" s="45" t="s">
        <v>610</v>
      </c>
      <c r="E52" s="38" t="s">
        <v>99</v>
      </c>
      <c r="F52" s="36">
        <f>F50*90*0.8+(1.5*4*0.56)</f>
        <v>95.894400000000005</v>
      </c>
      <c r="G52" s="301" t="s">
        <v>683</v>
      </c>
      <c r="H52" s="302"/>
    </row>
    <row r="53" spans="1:9" s="41" customFormat="1" ht="31.5" customHeight="1">
      <c r="A53" s="37" t="s">
        <v>280</v>
      </c>
      <c r="B53" s="43" t="s">
        <v>764</v>
      </c>
      <c r="C53" s="38" t="s">
        <v>100</v>
      </c>
      <c r="D53" s="45" t="s">
        <v>415</v>
      </c>
      <c r="E53" s="38" t="s">
        <v>99</v>
      </c>
      <c r="F53" s="36">
        <f>F50*90*0.2</f>
        <v>23.133600000000001</v>
      </c>
      <c r="G53" s="301" t="s">
        <v>684</v>
      </c>
      <c r="H53" s="302"/>
    </row>
    <row r="54" spans="1:9" s="41" customFormat="1" ht="29.25">
      <c r="A54" s="37" t="s">
        <v>310</v>
      </c>
      <c r="B54" s="43" t="s">
        <v>764</v>
      </c>
      <c r="C54" s="38" t="s">
        <v>223</v>
      </c>
      <c r="D54" s="45" t="s">
        <v>309</v>
      </c>
      <c r="E54" s="38" t="s">
        <v>34</v>
      </c>
      <c r="F54" s="36">
        <f>((6.84+3.5)*2+(14.25*2))*0.05</f>
        <v>2.4590000000000001</v>
      </c>
      <c r="G54" s="301" t="s">
        <v>685</v>
      </c>
      <c r="H54" s="302"/>
    </row>
    <row r="55" spans="1:9" s="41" customFormat="1" ht="45" customHeight="1">
      <c r="A55" s="37" t="s">
        <v>311</v>
      </c>
      <c r="B55" s="43" t="s">
        <v>764</v>
      </c>
      <c r="C55" s="38" t="s">
        <v>247</v>
      </c>
      <c r="D55" s="45" t="s">
        <v>313</v>
      </c>
      <c r="E55" s="38" t="s">
        <v>34</v>
      </c>
      <c r="F55" s="36">
        <f>(0.6*0.6*10*0.03)+(((1.7+1.25+3.5+3.15+1.11)*0.2*2)*0.03)</f>
        <v>0.23651999999999998</v>
      </c>
      <c r="G55" s="301" t="s">
        <v>686</v>
      </c>
      <c r="H55" s="302"/>
    </row>
    <row r="56" spans="1:9" s="41" customFormat="1" ht="30" customHeight="1">
      <c r="A56" s="37" t="s">
        <v>312</v>
      </c>
      <c r="B56" s="43" t="s">
        <v>764</v>
      </c>
      <c r="C56" s="38" t="s">
        <v>279</v>
      </c>
      <c r="D56" s="45" t="s">
        <v>665</v>
      </c>
      <c r="E56" s="38" t="s">
        <v>33</v>
      </c>
      <c r="F56" s="36">
        <f>(0.6*4*0.35*10)+((1.7+1.25+3.5+3.15+1.11)*2*0.6)</f>
        <v>21.251999999999999</v>
      </c>
      <c r="G56" s="301" t="s">
        <v>687</v>
      </c>
      <c r="H56" s="302"/>
    </row>
    <row r="57" spans="1:9" s="41" customFormat="1" ht="54.75" customHeight="1">
      <c r="A57" s="37" t="s">
        <v>392</v>
      </c>
      <c r="B57" s="43" t="s">
        <v>764</v>
      </c>
      <c r="C57" s="38" t="s">
        <v>388</v>
      </c>
      <c r="D57" s="45" t="s">
        <v>387</v>
      </c>
      <c r="E57" s="38" t="s">
        <v>34</v>
      </c>
      <c r="F57" s="36">
        <f>(6.84+3.5+14.25)*2*0.15</f>
        <v>7.3769999999999998</v>
      </c>
      <c r="G57" s="301" t="s">
        <v>688</v>
      </c>
      <c r="H57" s="302"/>
    </row>
    <row r="58" spans="1:9">
      <c r="A58" s="12"/>
      <c r="B58" s="6"/>
      <c r="C58" s="6"/>
      <c r="D58" s="45"/>
      <c r="E58" s="6"/>
      <c r="F58" s="36"/>
      <c r="G58" s="303"/>
      <c r="H58" s="304"/>
    </row>
    <row r="59" spans="1:9">
      <c r="A59" s="10">
        <v>4</v>
      </c>
      <c r="B59" s="7"/>
      <c r="C59" s="7"/>
      <c r="D59" s="10" t="s">
        <v>30</v>
      </c>
      <c r="E59" s="13"/>
      <c r="F59" s="20"/>
      <c r="G59" s="308"/>
      <c r="H59" s="309"/>
    </row>
    <row r="60" spans="1:9" s="41" customFormat="1">
      <c r="A60" s="37" t="s">
        <v>12</v>
      </c>
      <c r="B60" s="43" t="s">
        <v>764</v>
      </c>
      <c r="C60" s="38" t="s">
        <v>101</v>
      </c>
      <c r="D60" s="45" t="s">
        <v>314</v>
      </c>
      <c r="E60" s="38" t="s">
        <v>34</v>
      </c>
      <c r="F60" s="36">
        <f>10*0.15*0.25*3</f>
        <v>1.125</v>
      </c>
      <c r="G60" s="301" t="s">
        <v>689</v>
      </c>
      <c r="H60" s="302"/>
      <c r="I60" s="58"/>
    </row>
    <row r="61" spans="1:9" s="41" customFormat="1" ht="29.25" customHeight="1">
      <c r="A61" s="37" t="s">
        <v>13</v>
      </c>
      <c r="B61" s="43" t="s">
        <v>764</v>
      </c>
      <c r="C61" s="38" t="s">
        <v>39</v>
      </c>
      <c r="D61" s="45" t="s">
        <v>97</v>
      </c>
      <c r="E61" s="38" t="s">
        <v>34</v>
      </c>
      <c r="F61" s="36">
        <f>F60</f>
        <v>1.125</v>
      </c>
      <c r="G61" s="301" t="s">
        <v>689</v>
      </c>
      <c r="H61" s="302"/>
      <c r="I61" s="58"/>
    </row>
    <row r="62" spans="1:9" s="41" customFormat="1">
      <c r="A62" s="37" t="s">
        <v>14</v>
      </c>
      <c r="B62" s="43" t="s">
        <v>764</v>
      </c>
      <c r="C62" s="38" t="s">
        <v>98</v>
      </c>
      <c r="D62" s="45" t="s">
        <v>315</v>
      </c>
      <c r="E62" s="38" t="s">
        <v>99</v>
      </c>
      <c r="F62" s="36">
        <f>F60*90*0.8</f>
        <v>81</v>
      </c>
      <c r="G62" s="303" t="s">
        <v>690</v>
      </c>
      <c r="H62" s="304"/>
    </row>
    <row r="63" spans="1:9" s="41" customFormat="1">
      <c r="A63" s="37" t="s">
        <v>35</v>
      </c>
      <c r="B63" s="43" t="s">
        <v>764</v>
      </c>
      <c r="C63" s="38" t="s">
        <v>100</v>
      </c>
      <c r="D63" s="45" t="s">
        <v>316</v>
      </c>
      <c r="E63" s="38" t="s">
        <v>99</v>
      </c>
      <c r="F63" s="36">
        <f>F60*90*0.2</f>
        <v>20.25</v>
      </c>
      <c r="G63" s="303" t="s">
        <v>691</v>
      </c>
      <c r="H63" s="304"/>
    </row>
    <row r="64" spans="1:9" s="41" customFormat="1">
      <c r="A64" s="37" t="s">
        <v>324</v>
      </c>
      <c r="B64" s="43" t="s">
        <v>764</v>
      </c>
      <c r="C64" s="38" t="s">
        <v>102</v>
      </c>
      <c r="D64" s="45" t="s">
        <v>320</v>
      </c>
      <c r="E64" s="38" t="s">
        <v>33</v>
      </c>
      <c r="F64" s="36">
        <f>0.25*2*3*10</f>
        <v>15</v>
      </c>
      <c r="G64" s="303" t="s">
        <v>692</v>
      </c>
      <c r="H64" s="304"/>
    </row>
    <row r="65" spans="1:10" s="41" customFormat="1" ht="30.75" customHeight="1">
      <c r="A65" s="37" t="s">
        <v>325</v>
      </c>
      <c r="B65" s="43" t="s">
        <v>764</v>
      </c>
      <c r="C65" s="38" t="s">
        <v>101</v>
      </c>
      <c r="D65" s="45" t="s">
        <v>317</v>
      </c>
      <c r="E65" s="38" t="s">
        <v>34</v>
      </c>
      <c r="F65" s="36">
        <f>(3.15+3.15+3.5+1.25+1.81)*0.25*0.15*2</f>
        <v>0.96450000000000002</v>
      </c>
      <c r="G65" s="303" t="s">
        <v>693</v>
      </c>
      <c r="H65" s="304"/>
    </row>
    <row r="66" spans="1:10" s="41" customFormat="1" ht="39" customHeight="1">
      <c r="A66" s="37" t="s">
        <v>326</v>
      </c>
      <c r="B66" s="43" t="s">
        <v>764</v>
      </c>
      <c r="C66" s="38" t="s">
        <v>39</v>
      </c>
      <c r="D66" s="45" t="s">
        <v>97</v>
      </c>
      <c r="E66" s="38" t="s">
        <v>34</v>
      </c>
      <c r="F66" s="36">
        <f>F65</f>
        <v>0.96450000000000002</v>
      </c>
      <c r="G66" s="303" t="s">
        <v>693</v>
      </c>
      <c r="H66" s="304"/>
    </row>
    <row r="67" spans="1:10" s="41" customFormat="1">
      <c r="A67" s="37" t="s">
        <v>327</v>
      </c>
      <c r="B67" s="43" t="s">
        <v>764</v>
      </c>
      <c r="C67" s="38" t="s">
        <v>98</v>
      </c>
      <c r="D67" s="45" t="s">
        <v>318</v>
      </c>
      <c r="E67" s="38" t="s">
        <v>99</v>
      </c>
      <c r="F67" s="36">
        <f>F66*90*0.8</f>
        <v>69.444000000000003</v>
      </c>
      <c r="G67" s="303" t="s">
        <v>694</v>
      </c>
      <c r="H67" s="304"/>
    </row>
    <row r="68" spans="1:10" s="41" customFormat="1">
      <c r="A68" s="37" t="s">
        <v>328</v>
      </c>
      <c r="B68" s="43" t="s">
        <v>764</v>
      </c>
      <c r="C68" s="38" t="s">
        <v>100</v>
      </c>
      <c r="D68" s="45" t="s">
        <v>319</v>
      </c>
      <c r="E68" s="38" t="s">
        <v>99</v>
      </c>
      <c r="F68" s="36">
        <f>F66*90*0.2</f>
        <v>17.361000000000001</v>
      </c>
      <c r="G68" s="303" t="s">
        <v>695</v>
      </c>
      <c r="H68" s="304"/>
    </row>
    <row r="69" spans="1:10" s="41" customFormat="1" ht="36.75" customHeight="1">
      <c r="A69" s="37" t="s">
        <v>329</v>
      </c>
      <c r="B69" s="43" t="s">
        <v>764</v>
      </c>
      <c r="C69" s="38" t="s">
        <v>102</v>
      </c>
      <c r="D69" s="45" t="s">
        <v>321</v>
      </c>
      <c r="E69" s="38" t="s">
        <v>33</v>
      </c>
      <c r="F69" s="36">
        <f>(3.15+3.15+3.5+1.25+1.81)*0.5*2</f>
        <v>12.860000000000001</v>
      </c>
      <c r="G69" s="303" t="s">
        <v>696</v>
      </c>
      <c r="H69" s="304"/>
      <c r="J69" s="46"/>
    </row>
    <row r="70" spans="1:10">
      <c r="A70" s="12"/>
      <c r="B70" s="43"/>
      <c r="C70" s="6"/>
      <c r="D70" s="28"/>
      <c r="F70" s="19"/>
      <c r="G70" s="301"/>
      <c r="H70" s="302"/>
    </row>
    <row r="71" spans="1:10">
      <c r="A71" s="10">
        <v>5</v>
      </c>
      <c r="B71" s="7"/>
      <c r="C71" s="7"/>
      <c r="D71" s="10" t="s">
        <v>107</v>
      </c>
      <c r="E71" s="13"/>
      <c r="F71" s="20"/>
      <c r="G71" s="305"/>
      <c r="H71" s="306"/>
    </row>
    <row r="72" spans="1:10" s="41" customFormat="1" ht="28.5" customHeight="1">
      <c r="A72" s="37" t="s">
        <v>330</v>
      </c>
      <c r="B72" s="43" t="s">
        <v>764</v>
      </c>
      <c r="C72" s="38" t="s">
        <v>323</v>
      </c>
      <c r="D72" s="45" t="s">
        <v>322</v>
      </c>
      <c r="E72" s="38" t="s">
        <v>33</v>
      </c>
      <c r="F72" s="36">
        <f>(1.7+1.25+3.5+3.15+1.11)*2.75*2</f>
        <v>58.904999999999994</v>
      </c>
      <c r="G72" s="301" t="s">
        <v>697</v>
      </c>
      <c r="H72" s="302"/>
    </row>
    <row r="73" spans="1:10" s="41" customFormat="1" ht="32.25" customHeight="1">
      <c r="A73" s="37" t="s">
        <v>16</v>
      </c>
      <c r="B73" s="43" t="s">
        <v>764</v>
      </c>
      <c r="C73" s="38" t="s">
        <v>108</v>
      </c>
      <c r="D73" s="45" t="s">
        <v>109</v>
      </c>
      <c r="E73" s="38" t="s">
        <v>33</v>
      </c>
      <c r="F73" s="36">
        <f>1.3*2*3+(0.3*2*2)+(0.4*1.2*2)</f>
        <v>9.9600000000000009</v>
      </c>
      <c r="G73" s="301" t="s">
        <v>632</v>
      </c>
      <c r="H73" s="302"/>
    </row>
    <row r="74" spans="1:10" s="41" customFormat="1" ht="30.75" customHeight="1">
      <c r="A74" s="37" t="s">
        <v>331</v>
      </c>
      <c r="B74" s="43" t="s">
        <v>764</v>
      </c>
      <c r="C74" s="38" t="s">
        <v>224</v>
      </c>
      <c r="D74" s="45" t="s">
        <v>225</v>
      </c>
      <c r="E74" s="38" t="s">
        <v>34</v>
      </c>
      <c r="F74" s="36">
        <f>(2.38*2+1.55*2)*0.14*0.2</f>
        <v>0.22008000000000003</v>
      </c>
      <c r="G74" s="301" t="s">
        <v>634</v>
      </c>
      <c r="H74" s="302"/>
      <c r="I74" s="59"/>
    </row>
    <row r="75" spans="1:10">
      <c r="A75" s="12"/>
      <c r="B75" s="43"/>
      <c r="C75" s="6"/>
      <c r="D75" s="28"/>
      <c r="E75" s="6"/>
      <c r="F75" s="19"/>
      <c r="G75" s="301"/>
      <c r="H75" s="302"/>
    </row>
    <row r="76" spans="1:10">
      <c r="A76" s="10">
        <v>6</v>
      </c>
      <c r="B76" s="7"/>
      <c r="C76" s="7"/>
      <c r="D76" s="10" t="s">
        <v>15</v>
      </c>
      <c r="E76" s="13"/>
      <c r="F76" s="20"/>
      <c r="G76" s="305"/>
      <c r="H76" s="306"/>
      <c r="I76" s="23"/>
    </row>
    <row r="77" spans="1:10" s="41" customFormat="1" ht="29.25" customHeight="1">
      <c r="A77" s="37" t="s">
        <v>17</v>
      </c>
      <c r="B77" s="43" t="s">
        <v>764</v>
      </c>
      <c r="C77" s="38" t="s">
        <v>192</v>
      </c>
      <c r="D77" s="45" t="s">
        <v>193</v>
      </c>
      <c r="E77" s="38" t="s">
        <v>33</v>
      </c>
      <c r="F77" s="36">
        <f>22.12*2*1.077</f>
        <v>47.646479999999997</v>
      </c>
      <c r="G77" s="301" t="s">
        <v>698</v>
      </c>
      <c r="H77" s="302"/>
    </row>
    <row r="78" spans="1:10" s="41" customFormat="1" ht="30" customHeight="1">
      <c r="A78" s="37" t="s">
        <v>18</v>
      </c>
      <c r="B78" s="43" t="s">
        <v>764</v>
      </c>
      <c r="C78" s="38" t="s">
        <v>667</v>
      </c>
      <c r="D78" s="49" t="s">
        <v>666</v>
      </c>
      <c r="E78" s="38" t="s">
        <v>33</v>
      </c>
      <c r="F78" s="36">
        <f>F77</f>
        <v>47.646479999999997</v>
      </c>
      <c r="G78" s="301" t="s">
        <v>699</v>
      </c>
      <c r="H78" s="302"/>
    </row>
    <row r="79" spans="1:10" s="41" customFormat="1" ht="17.25" customHeight="1">
      <c r="A79" s="37" t="s">
        <v>179</v>
      </c>
      <c r="B79" s="43" t="s">
        <v>764</v>
      </c>
      <c r="C79" s="38" t="s">
        <v>194</v>
      </c>
      <c r="D79" s="39" t="s">
        <v>195</v>
      </c>
      <c r="E79" s="38" t="s">
        <v>36</v>
      </c>
      <c r="F79" s="36">
        <f>5.6*2</f>
        <v>11.2</v>
      </c>
      <c r="G79" s="301" t="s">
        <v>700</v>
      </c>
      <c r="H79" s="302"/>
    </row>
    <row r="80" spans="1:10" s="41" customFormat="1" ht="30" customHeight="1">
      <c r="A80" s="37" t="s">
        <v>180</v>
      </c>
      <c r="B80" s="43" t="s">
        <v>764</v>
      </c>
      <c r="C80" s="38" t="s">
        <v>249</v>
      </c>
      <c r="D80" s="39" t="s">
        <v>250</v>
      </c>
      <c r="E80" s="38" t="s">
        <v>36</v>
      </c>
      <c r="F80" s="36">
        <f>(5.07+5.07+(3.6*4))*1.077</f>
        <v>26.429579999999998</v>
      </c>
      <c r="G80" s="301" t="s">
        <v>701</v>
      </c>
      <c r="H80" s="302"/>
    </row>
    <row r="81" spans="1:9" s="41" customFormat="1" ht="30.75" customHeight="1">
      <c r="A81" s="37" t="s">
        <v>191</v>
      </c>
      <c r="B81" s="43" t="s">
        <v>764</v>
      </c>
      <c r="C81" s="38" t="s">
        <v>103</v>
      </c>
      <c r="D81" s="39" t="s">
        <v>403</v>
      </c>
      <c r="E81" s="38" t="s">
        <v>36</v>
      </c>
      <c r="F81" s="36">
        <f>F80</f>
        <v>26.429579999999998</v>
      </c>
      <c r="G81" s="301" t="s">
        <v>702</v>
      </c>
      <c r="H81" s="302"/>
    </row>
    <row r="82" spans="1:9" s="41" customFormat="1" ht="30.75" customHeight="1">
      <c r="A82" s="37" t="s">
        <v>221</v>
      </c>
      <c r="B82" s="43" t="s">
        <v>764</v>
      </c>
      <c r="C82" s="38" t="s">
        <v>333</v>
      </c>
      <c r="D82" s="39" t="s">
        <v>332</v>
      </c>
      <c r="E82" s="38" t="s">
        <v>36</v>
      </c>
      <c r="F82" s="36">
        <f>3.7*4*1.077</f>
        <v>15.9396</v>
      </c>
      <c r="G82" s="301" t="s">
        <v>703</v>
      </c>
      <c r="H82" s="302"/>
    </row>
    <row r="83" spans="1:9" s="41" customFormat="1">
      <c r="A83" s="37"/>
      <c r="B83" s="38"/>
      <c r="C83" s="38"/>
      <c r="D83" s="60"/>
      <c r="E83" s="38"/>
      <c r="F83" s="36"/>
      <c r="G83" s="301"/>
      <c r="H83" s="302"/>
    </row>
    <row r="84" spans="1:9">
      <c r="A84" s="10">
        <v>7</v>
      </c>
      <c r="B84" s="7"/>
      <c r="C84" s="13"/>
      <c r="D84" s="10" t="s">
        <v>57</v>
      </c>
      <c r="E84" s="13"/>
      <c r="F84" s="13"/>
      <c r="G84" s="308"/>
      <c r="H84" s="309"/>
      <c r="I84" s="23"/>
    </row>
    <row r="85" spans="1:9">
      <c r="A85" s="10"/>
      <c r="B85" s="7"/>
      <c r="C85" s="13"/>
      <c r="D85" s="10"/>
      <c r="E85" s="13"/>
      <c r="F85" s="13"/>
      <c r="G85" s="308"/>
      <c r="H85" s="309"/>
      <c r="I85" s="23"/>
    </row>
    <row r="86" spans="1:9">
      <c r="A86" s="12" t="s">
        <v>19</v>
      </c>
      <c r="B86" s="43" t="s">
        <v>764</v>
      </c>
      <c r="C86" s="6" t="s">
        <v>104</v>
      </c>
      <c r="D86" s="34" t="s">
        <v>334</v>
      </c>
      <c r="E86" s="6" t="s">
        <v>33</v>
      </c>
      <c r="F86" s="36">
        <v>49.18</v>
      </c>
      <c r="G86" s="321" t="s">
        <v>704</v>
      </c>
      <c r="H86" s="322"/>
    </row>
    <row r="87" spans="1:9">
      <c r="A87" s="12" t="s">
        <v>20</v>
      </c>
      <c r="B87" s="43" t="s">
        <v>764</v>
      </c>
      <c r="C87" s="6" t="s">
        <v>251</v>
      </c>
      <c r="D87" s="34" t="s">
        <v>335</v>
      </c>
      <c r="E87" s="6" t="s">
        <v>33</v>
      </c>
      <c r="F87" s="36">
        <f>26.57*1.077</f>
        <v>28.61589</v>
      </c>
      <c r="G87" s="321" t="s">
        <v>705</v>
      </c>
      <c r="H87" s="322"/>
    </row>
    <row r="88" spans="1:9">
      <c r="A88" s="12"/>
      <c r="B88" s="6"/>
      <c r="C88" s="6"/>
      <c r="D88" s="29"/>
      <c r="E88" s="6"/>
      <c r="F88" s="19"/>
      <c r="G88" s="321"/>
      <c r="H88" s="322"/>
    </row>
    <row r="89" spans="1:9">
      <c r="A89" s="10">
        <v>8</v>
      </c>
      <c r="B89" s="7"/>
      <c r="C89" s="13"/>
      <c r="D89" s="10" t="s">
        <v>58</v>
      </c>
      <c r="E89" s="13"/>
      <c r="F89" s="13"/>
      <c r="G89" s="308"/>
      <c r="H89" s="309"/>
      <c r="I89" s="23"/>
    </row>
    <row r="90" spans="1:9" s="41" customFormat="1" ht="48" customHeight="1">
      <c r="A90" s="37" t="s">
        <v>21</v>
      </c>
      <c r="B90" s="43" t="s">
        <v>764</v>
      </c>
      <c r="C90" s="38" t="s">
        <v>105</v>
      </c>
      <c r="D90" s="37" t="s">
        <v>106</v>
      </c>
      <c r="E90" s="38" t="s">
        <v>33</v>
      </c>
      <c r="F90" s="36">
        <f>(14.84*3*2)+(18.43*3*2)+((3.15+3.15+3.5)*3.2*2)</f>
        <v>262.34000000000003</v>
      </c>
      <c r="G90" s="301" t="s">
        <v>706</v>
      </c>
      <c r="H90" s="302"/>
    </row>
    <row r="91" spans="1:9" s="41" customFormat="1" ht="52.5" customHeight="1">
      <c r="A91" s="37" t="s">
        <v>31</v>
      </c>
      <c r="B91" s="43" t="s">
        <v>764</v>
      </c>
      <c r="C91" s="38" t="s">
        <v>226</v>
      </c>
      <c r="D91" s="45" t="s">
        <v>336</v>
      </c>
      <c r="E91" s="38" t="s">
        <v>33</v>
      </c>
      <c r="F91" s="36">
        <f>F90</f>
        <v>262.34000000000003</v>
      </c>
      <c r="G91" s="301" t="s">
        <v>707</v>
      </c>
      <c r="H91" s="302"/>
    </row>
    <row r="92" spans="1:9" s="41" customFormat="1" ht="72" customHeight="1">
      <c r="A92" s="37" t="s">
        <v>398</v>
      </c>
      <c r="B92" s="43" t="s">
        <v>764</v>
      </c>
      <c r="C92" s="56" t="s">
        <v>241</v>
      </c>
      <c r="D92" s="45" t="s">
        <v>337</v>
      </c>
      <c r="E92" s="38" t="s">
        <v>33</v>
      </c>
      <c r="F92" s="36">
        <f>((14.84*2*2)+(11.01*2*2)+(1.81*4*2)+(49.18))*1.05</f>
        <v>175.41300000000001</v>
      </c>
      <c r="G92" s="301" t="s">
        <v>708</v>
      </c>
      <c r="H92" s="302"/>
    </row>
    <row r="93" spans="1:9" s="41" customFormat="1" ht="30" customHeight="1">
      <c r="A93" s="37" t="s">
        <v>32</v>
      </c>
      <c r="B93" s="43" t="s">
        <v>764</v>
      </c>
      <c r="C93" s="38" t="s">
        <v>232</v>
      </c>
      <c r="D93" s="45" t="s">
        <v>110</v>
      </c>
      <c r="E93" s="38" t="s">
        <v>36</v>
      </c>
      <c r="F93" s="36">
        <f>0.9*4+1.29*2+2*2+1.2*2</f>
        <v>12.58</v>
      </c>
      <c r="G93" s="301" t="s">
        <v>416</v>
      </c>
      <c r="H93" s="302"/>
    </row>
    <row r="94" spans="1:9" s="41" customFormat="1" ht="42.75" customHeight="1">
      <c r="A94" s="37" t="s">
        <v>399</v>
      </c>
      <c r="B94" s="43" t="s">
        <v>764</v>
      </c>
      <c r="C94" s="38" t="s">
        <v>397</v>
      </c>
      <c r="D94" s="45" t="s">
        <v>396</v>
      </c>
      <c r="E94" s="38" t="s">
        <v>33</v>
      </c>
      <c r="F94" s="36">
        <f>(3.15*2*2)*1.05</f>
        <v>13.23</v>
      </c>
      <c r="G94" s="301" t="s">
        <v>636</v>
      </c>
      <c r="H94" s="302"/>
    </row>
    <row r="95" spans="1:9" s="41" customFormat="1" ht="29.25" customHeight="1">
      <c r="A95" s="37" t="s">
        <v>400</v>
      </c>
      <c r="B95" s="43" t="s">
        <v>764</v>
      </c>
      <c r="C95" s="38" t="s">
        <v>402</v>
      </c>
      <c r="D95" s="45" t="s">
        <v>401</v>
      </c>
      <c r="E95" s="38" t="s">
        <v>33</v>
      </c>
      <c r="F95" s="36">
        <f>F94</f>
        <v>13.23</v>
      </c>
      <c r="G95" s="301" t="s">
        <v>636</v>
      </c>
      <c r="H95" s="302"/>
    </row>
    <row r="96" spans="1:9">
      <c r="A96" s="12"/>
      <c r="B96" s="6"/>
      <c r="C96" s="6"/>
      <c r="D96" s="30"/>
      <c r="E96" s="6"/>
      <c r="F96" s="19"/>
      <c r="G96" s="301"/>
      <c r="H96" s="302"/>
    </row>
    <row r="97" spans="1:9">
      <c r="A97" s="10">
        <v>9</v>
      </c>
      <c r="B97" s="13"/>
      <c r="C97" s="13"/>
      <c r="D97" s="10" t="s">
        <v>59</v>
      </c>
      <c r="E97" s="13"/>
      <c r="F97" s="13"/>
      <c r="G97" s="308"/>
      <c r="H97" s="309"/>
      <c r="I97" s="23"/>
    </row>
    <row r="98" spans="1:9" s="41" customFormat="1" ht="30" customHeight="1">
      <c r="A98" s="37" t="s">
        <v>22</v>
      </c>
      <c r="B98" s="43" t="s">
        <v>764</v>
      </c>
      <c r="C98" s="38" t="s">
        <v>253</v>
      </c>
      <c r="D98" s="45" t="s">
        <v>252</v>
      </c>
      <c r="E98" s="38" t="s">
        <v>34</v>
      </c>
      <c r="F98" s="36">
        <f>(1.7+1.25+3.5+3.15+1.11)*2*0.75*0.02</f>
        <v>0.32129999999999997</v>
      </c>
      <c r="G98" s="301" t="s">
        <v>709</v>
      </c>
      <c r="H98" s="302"/>
    </row>
    <row r="99" spans="1:9" s="41" customFormat="1" ht="30" customHeight="1">
      <c r="A99" s="37" t="s">
        <v>227</v>
      </c>
      <c r="B99" s="43" t="s">
        <v>764</v>
      </c>
      <c r="C99" s="38" t="s">
        <v>234</v>
      </c>
      <c r="D99" s="45" t="s">
        <v>233</v>
      </c>
      <c r="E99" s="38" t="s">
        <v>33</v>
      </c>
      <c r="F99" s="36">
        <f>(1.7+1.25+3.5+3.15+1.11)*2*0.75</f>
        <v>16.064999999999998</v>
      </c>
      <c r="G99" s="301" t="s">
        <v>710</v>
      </c>
      <c r="H99" s="302"/>
    </row>
    <row r="100" spans="1:9">
      <c r="A100" s="12"/>
      <c r="B100" s="6"/>
      <c r="C100" s="6"/>
      <c r="D100" s="31"/>
      <c r="E100" s="6"/>
      <c r="F100" s="19"/>
      <c r="G100" s="312"/>
      <c r="H100" s="313"/>
    </row>
    <row r="101" spans="1:9">
      <c r="A101" s="10">
        <v>10</v>
      </c>
      <c r="B101" s="13"/>
      <c r="C101" s="13"/>
      <c r="D101" s="10" t="s">
        <v>63</v>
      </c>
      <c r="E101" s="13"/>
      <c r="F101" s="13"/>
      <c r="G101" s="308"/>
      <c r="H101" s="309"/>
      <c r="I101" s="23"/>
    </row>
    <row r="102" spans="1:9" s="41" customFormat="1" ht="30.75" customHeight="1">
      <c r="A102" s="37" t="s">
        <v>293</v>
      </c>
      <c r="B102" s="43" t="s">
        <v>764</v>
      </c>
      <c r="C102" s="38" t="s">
        <v>206</v>
      </c>
      <c r="D102" s="45" t="s">
        <v>338</v>
      </c>
      <c r="E102" s="38" t="s">
        <v>33</v>
      </c>
      <c r="F102" s="36">
        <f>1.2*0.6*2+(2*0.6*4)</f>
        <v>6.24</v>
      </c>
      <c r="G102" s="301" t="s">
        <v>631</v>
      </c>
      <c r="H102" s="302"/>
    </row>
    <row r="103" spans="1:9" s="41" customFormat="1">
      <c r="A103" s="37" t="s">
        <v>23</v>
      </c>
      <c r="B103" s="43" t="s">
        <v>764</v>
      </c>
      <c r="C103" s="38" t="s">
        <v>207</v>
      </c>
      <c r="D103" s="45" t="s">
        <v>339</v>
      </c>
      <c r="E103" s="38" t="s">
        <v>33</v>
      </c>
      <c r="F103" s="36">
        <f>F102</f>
        <v>6.24</v>
      </c>
      <c r="G103" s="301" t="s">
        <v>631</v>
      </c>
      <c r="H103" s="302"/>
    </row>
    <row r="104" spans="1:9" s="41" customFormat="1" ht="30" customHeight="1">
      <c r="A104" s="37" t="s">
        <v>60</v>
      </c>
      <c r="B104" s="43" t="s">
        <v>764</v>
      </c>
      <c r="C104" s="38" t="s">
        <v>341</v>
      </c>
      <c r="D104" s="45" t="s">
        <v>340</v>
      </c>
      <c r="E104" s="38" t="s">
        <v>33</v>
      </c>
      <c r="F104" s="36">
        <f>0.9*2.1*4</f>
        <v>7.5600000000000005</v>
      </c>
      <c r="G104" s="323" t="s">
        <v>417</v>
      </c>
      <c r="H104" s="324"/>
    </row>
    <row r="105" spans="1:9" s="41" customFormat="1">
      <c r="A105" s="37" t="s">
        <v>61</v>
      </c>
      <c r="B105" s="43" t="s">
        <v>764</v>
      </c>
      <c r="C105" s="38" t="s">
        <v>343</v>
      </c>
      <c r="D105" s="45" t="s">
        <v>342</v>
      </c>
      <c r="E105" s="38" t="s">
        <v>344</v>
      </c>
      <c r="F105" s="36">
        <v>4</v>
      </c>
      <c r="G105" s="301" t="s">
        <v>418</v>
      </c>
      <c r="H105" s="302"/>
    </row>
    <row r="106" spans="1:9" s="41" customFormat="1" ht="29.25">
      <c r="A106" s="49" t="s">
        <v>62</v>
      </c>
      <c r="B106" s="43" t="s">
        <v>764</v>
      </c>
      <c r="C106" s="57" t="s">
        <v>123</v>
      </c>
      <c r="D106" s="39" t="s">
        <v>124</v>
      </c>
      <c r="E106" s="57" t="s">
        <v>122</v>
      </c>
      <c r="F106" s="62">
        <f>7</f>
        <v>7</v>
      </c>
      <c r="G106" s="301" t="s">
        <v>419</v>
      </c>
      <c r="H106" s="302"/>
    </row>
    <row r="107" spans="1:9">
      <c r="A107" s="12"/>
      <c r="B107" s="6"/>
      <c r="C107" s="6"/>
      <c r="D107" s="28"/>
      <c r="E107" s="6"/>
      <c r="F107" s="24"/>
      <c r="G107" s="301"/>
      <c r="H107" s="302"/>
    </row>
    <row r="108" spans="1:9">
      <c r="A108" s="10">
        <v>11</v>
      </c>
      <c r="B108" s="13"/>
      <c r="C108" s="13"/>
      <c r="D108" s="10" t="s">
        <v>28</v>
      </c>
      <c r="E108" s="13"/>
      <c r="F108" s="13"/>
      <c r="G108" s="308"/>
      <c r="H108" s="309"/>
    </row>
    <row r="109" spans="1:9" s="41" customFormat="1" ht="57" customHeight="1">
      <c r="A109" s="37" t="s">
        <v>24</v>
      </c>
      <c r="B109" s="43" t="s">
        <v>764</v>
      </c>
      <c r="C109" s="38" t="s">
        <v>132</v>
      </c>
      <c r="D109" s="45" t="s">
        <v>345</v>
      </c>
      <c r="E109" s="38" t="s">
        <v>33</v>
      </c>
      <c r="F109" s="36">
        <f>((14.84*2*1)+(11.01*1*2)+(7.4*2*1)+(49.18))+((38.82*3.2)-13.23)</f>
        <v>226.67400000000001</v>
      </c>
      <c r="G109" s="301" t="s">
        <v>711</v>
      </c>
      <c r="H109" s="302"/>
    </row>
    <row r="110" spans="1:9" s="41" customFormat="1" ht="57" customHeight="1">
      <c r="A110" s="37" t="s">
        <v>25</v>
      </c>
      <c r="B110" s="43" t="s">
        <v>764</v>
      </c>
      <c r="C110" s="38" t="s">
        <v>668</v>
      </c>
      <c r="D110" s="45" t="s">
        <v>669</v>
      </c>
      <c r="E110" s="38" t="s">
        <v>33</v>
      </c>
      <c r="F110" s="36">
        <f>((14.84*2*1)+(11.01*1*2)+(7.4*2*1)+(49.18))</f>
        <v>115.68</v>
      </c>
      <c r="G110" s="301" t="s">
        <v>712</v>
      </c>
      <c r="H110" s="302"/>
    </row>
    <row r="111" spans="1:9" s="41" customFormat="1">
      <c r="A111" s="37" t="s">
        <v>41</v>
      </c>
      <c r="B111" s="43" t="s">
        <v>764</v>
      </c>
      <c r="C111" s="38" t="s">
        <v>210</v>
      </c>
      <c r="D111" s="45" t="s">
        <v>347</v>
      </c>
      <c r="E111" s="38" t="s">
        <v>33</v>
      </c>
      <c r="F111" s="36">
        <f>F87+(F80*0.2)</f>
        <v>33.901806000000001</v>
      </c>
      <c r="G111" s="301" t="s">
        <v>713</v>
      </c>
      <c r="H111" s="302"/>
      <c r="I111" s="58"/>
    </row>
    <row r="112" spans="1:9" s="41" customFormat="1" ht="33.75" customHeight="1">
      <c r="A112" s="37" t="s">
        <v>714</v>
      </c>
      <c r="B112" s="43" t="s">
        <v>764</v>
      </c>
      <c r="C112" s="38" t="s">
        <v>133</v>
      </c>
      <c r="D112" s="45" t="s">
        <v>346</v>
      </c>
      <c r="E112" s="38" t="s">
        <v>33</v>
      </c>
      <c r="F112" s="36">
        <f>F102+(F104*2)</f>
        <v>21.36</v>
      </c>
      <c r="G112" s="301" t="s">
        <v>635</v>
      </c>
      <c r="H112" s="302"/>
    </row>
    <row r="113" spans="1:9">
      <c r="A113" s="12"/>
      <c r="B113" s="6"/>
      <c r="C113" s="6"/>
      <c r="D113" s="28"/>
      <c r="E113" s="6"/>
      <c r="F113" s="24"/>
      <c r="G113" s="312"/>
      <c r="H113" s="313"/>
    </row>
    <row r="114" spans="1:9">
      <c r="A114" s="10">
        <v>12</v>
      </c>
      <c r="B114" s="13"/>
      <c r="C114" s="13"/>
      <c r="D114" s="10" t="s">
        <v>67</v>
      </c>
      <c r="E114" s="13"/>
      <c r="F114" s="13"/>
      <c r="G114" s="308"/>
      <c r="H114" s="309"/>
      <c r="I114" s="23"/>
    </row>
    <row r="115" spans="1:9" s="41" customFormat="1" ht="29.25">
      <c r="A115" s="37" t="s">
        <v>26</v>
      </c>
      <c r="B115" s="43" t="s">
        <v>764</v>
      </c>
      <c r="C115" s="38" t="s">
        <v>405</v>
      </c>
      <c r="D115" s="45" t="s">
        <v>404</v>
      </c>
      <c r="E115" s="38" t="s">
        <v>33</v>
      </c>
      <c r="F115" s="36">
        <f>0.265*2</f>
        <v>0.53</v>
      </c>
      <c r="G115" s="301" t="s">
        <v>420</v>
      </c>
      <c r="H115" s="302"/>
    </row>
    <row r="116" spans="1:9" s="41" customFormat="1" ht="29.25">
      <c r="A116" s="37" t="s">
        <v>211</v>
      </c>
      <c r="B116" s="43" t="s">
        <v>764</v>
      </c>
      <c r="C116" s="38" t="s">
        <v>140</v>
      </c>
      <c r="D116" s="39" t="s">
        <v>141</v>
      </c>
      <c r="E116" s="38" t="s">
        <v>122</v>
      </c>
      <c r="F116" s="36">
        <v>2</v>
      </c>
      <c r="G116" s="301" t="s">
        <v>421</v>
      </c>
      <c r="H116" s="302"/>
    </row>
    <row r="117" spans="1:9" s="41" customFormat="1" ht="31.5" customHeight="1">
      <c r="A117" s="37" t="s">
        <v>212</v>
      </c>
      <c r="B117" s="43" t="s">
        <v>764</v>
      </c>
      <c r="C117" s="38" t="s">
        <v>174</v>
      </c>
      <c r="D117" s="39" t="s">
        <v>175</v>
      </c>
      <c r="E117" s="38" t="s">
        <v>122</v>
      </c>
      <c r="F117" s="36">
        <v>2</v>
      </c>
      <c r="G117" s="301" t="s">
        <v>440</v>
      </c>
      <c r="H117" s="302"/>
    </row>
    <row r="118" spans="1:9" s="41" customFormat="1" ht="29.25">
      <c r="A118" s="37" t="s">
        <v>358</v>
      </c>
      <c r="B118" s="43" t="s">
        <v>764</v>
      </c>
      <c r="C118" s="6" t="s">
        <v>239</v>
      </c>
      <c r="D118" s="27" t="s">
        <v>240</v>
      </c>
      <c r="E118" s="38" t="s">
        <v>122</v>
      </c>
      <c r="F118" s="36">
        <v>4</v>
      </c>
      <c r="G118" s="301" t="s">
        <v>422</v>
      </c>
      <c r="H118" s="302"/>
    </row>
    <row r="119" spans="1:9" s="41" customFormat="1" ht="29.25">
      <c r="A119" s="37" t="s">
        <v>359</v>
      </c>
      <c r="B119" s="43" t="s">
        <v>764</v>
      </c>
      <c r="C119" s="38" t="s">
        <v>357</v>
      </c>
      <c r="D119" s="39" t="s">
        <v>356</v>
      </c>
      <c r="E119" s="38" t="s">
        <v>344</v>
      </c>
      <c r="F119" s="36">
        <v>2</v>
      </c>
      <c r="G119" s="301" t="s">
        <v>423</v>
      </c>
      <c r="H119" s="302"/>
    </row>
    <row r="120" spans="1:9">
      <c r="A120" s="12"/>
      <c r="B120" s="6"/>
      <c r="C120" s="6"/>
      <c r="D120" s="28" t="s">
        <v>53</v>
      </c>
      <c r="E120" s="6"/>
      <c r="F120" s="19"/>
      <c r="G120" s="301"/>
      <c r="H120" s="302"/>
    </row>
    <row r="121" spans="1:9">
      <c r="A121" s="10">
        <v>13</v>
      </c>
      <c r="B121" s="13"/>
      <c r="C121" s="13"/>
      <c r="D121" s="7" t="s">
        <v>196</v>
      </c>
      <c r="E121" s="13"/>
      <c r="F121" s="13"/>
      <c r="G121" s="308"/>
      <c r="H121" s="309"/>
      <c r="I121" s="23"/>
    </row>
    <row r="122" spans="1:9" s="41" customFormat="1">
      <c r="A122" s="37" t="s">
        <v>64</v>
      </c>
      <c r="B122" s="43" t="s">
        <v>764</v>
      </c>
      <c r="C122" s="38" t="s">
        <v>142</v>
      </c>
      <c r="D122" s="48" t="s">
        <v>143</v>
      </c>
      <c r="E122" s="38" t="s">
        <v>759</v>
      </c>
      <c r="F122" s="36">
        <v>8</v>
      </c>
      <c r="G122" s="312" t="s">
        <v>424</v>
      </c>
      <c r="H122" s="313"/>
    </row>
    <row r="123" spans="1:9" s="41" customFormat="1" ht="46.5" customHeight="1">
      <c r="A123" s="37" t="s">
        <v>65</v>
      </c>
      <c r="B123" s="43" t="s">
        <v>764</v>
      </c>
      <c r="C123" s="38" t="s">
        <v>144</v>
      </c>
      <c r="D123" s="42" t="s">
        <v>145</v>
      </c>
      <c r="E123" s="38" t="s">
        <v>36</v>
      </c>
      <c r="F123" s="36">
        <f>(1+1.5+1.65+2+1.1+1.4+1.35+1.17)*2+(6.77+1.6+1.35+2+1.4+1.5)+(10*2.5)+6</f>
        <v>67.960000000000008</v>
      </c>
      <c r="G123" s="301" t="s">
        <v>715</v>
      </c>
      <c r="H123" s="302"/>
    </row>
    <row r="124" spans="1:9" s="41" customFormat="1">
      <c r="A124" s="37" t="s">
        <v>134</v>
      </c>
      <c r="B124" s="43" t="s">
        <v>764</v>
      </c>
      <c r="C124" s="38" t="s">
        <v>146</v>
      </c>
      <c r="D124" s="42" t="s">
        <v>147</v>
      </c>
      <c r="E124" s="38" t="s">
        <v>122</v>
      </c>
      <c r="F124" s="36">
        <f>6+10</f>
        <v>16</v>
      </c>
      <c r="G124" s="312" t="s">
        <v>424</v>
      </c>
      <c r="H124" s="313"/>
    </row>
    <row r="125" spans="1:9" s="41" customFormat="1" ht="48" customHeight="1">
      <c r="A125" s="37" t="s">
        <v>135</v>
      </c>
      <c r="B125" s="43" t="s">
        <v>764</v>
      </c>
      <c r="C125" s="38" t="s">
        <v>246</v>
      </c>
      <c r="D125" s="42" t="s">
        <v>245</v>
      </c>
      <c r="E125" s="38" t="s">
        <v>36</v>
      </c>
      <c r="F125" s="36">
        <f>F123</f>
        <v>67.960000000000008</v>
      </c>
      <c r="G125" s="301" t="s">
        <v>715</v>
      </c>
      <c r="H125" s="302"/>
    </row>
    <row r="126" spans="1:9" s="41" customFormat="1" ht="29.25">
      <c r="A126" s="37" t="s">
        <v>136</v>
      </c>
      <c r="B126" s="43" t="s">
        <v>764</v>
      </c>
      <c r="C126" s="38" t="s">
        <v>148</v>
      </c>
      <c r="D126" s="42" t="s">
        <v>149</v>
      </c>
      <c r="E126" s="38" t="s">
        <v>36</v>
      </c>
      <c r="F126" s="36">
        <f>F123*3</f>
        <v>203.88000000000002</v>
      </c>
      <c r="G126" s="301" t="s">
        <v>716</v>
      </c>
      <c r="H126" s="302"/>
    </row>
    <row r="127" spans="1:9" s="41" customFormat="1">
      <c r="A127" s="37" t="s">
        <v>137</v>
      </c>
      <c r="B127" s="43" t="s">
        <v>764</v>
      </c>
      <c r="C127" s="38" t="s">
        <v>349</v>
      </c>
      <c r="D127" s="42" t="s">
        <v>348</v>
      </c>
      <c r="E127" s="43" t="s">
        <v>122</v>
      </c>
      <c r="F127" s="36">
        <v>4</v>
      </c>
      <c r="G127" s="312" t="s">
        <v>424</v>
      </c>
      <c r="H127" s="313"/>
    </row>
    <row r="128" spans="1:9" s="41" customFormat="1">
      <c r="A128" s="37" t="s">
        <v>138</v>
      </c>
      <c r="B128" s="43" t="s">
        <v>764</v>
      </c>
      <c r="C128" s="38" t="s">
        <v>150</v>
      </c>
      <c r="D128" s="42" t="s">
        <v>261</v>
      </c>
      <c r="E128" s="38" t="s">
        <v>122</v>
      </c>
      <c r="F128" s="36">
        <v>4</v>
      </c>
      <c r="G128" s="312" t="s">
        <v>424</v>
      </c>
      <c r="H128" s="313"/>
    </row>
    <row r="129" spans="1:8" s="41" customFormat="1">
      <c r="A129" s="37" t="s">
        <v>139</v>
      </c>
      <c r="B129" s="43" t="s">
        <v>764</v>
      </c>
      <c r="C129" s="38" t="s">
        <v>183</v>
      </c>
      <c r="D129" s="42" t="s">
        <v>184</v>
      </c>
      <c r="E129" s="38" t="s">
        <v>344</v>
      </c>
      <c r="F129" s="62">
        <v>4</v>
      </c>
      <c r="G129" s="312" t="s">
        <v>424</v>
      </c>
      <c r="H129" s="313"/>
    </row>
    <row r="130" spans="1:8" s="41" customFormat="1">
      <c r="A130" s="37" t="s">
        <v>176</v>
      </c>
      <c r="B130" s="43" t="s">
        <v>764</v>
      </c>
      <c r="C130" s="38" t="s">
        <v>353</v>
      </c>
      <c r="D130" s="42" t="s">
        <v>352</v>
      </c>
      <c r="E130" s="38" t="s">
        <v>759</v>
      </c>
      <c r="F130" s="62">
        <v>2</v>
      </c>
      <c r="G130" s="312" t="s">
        <v>424</v>
      </c>
      <c r="H130" s="313"/>
    </row>
    <row r="131" spans="1:8" s="41" customFormat="1" ht="29.25">
      <c r="A131" s="37" t="s">
        <v>177</v>
      </c>
      <c r="B131" s="43" t="s">
        <v>764</v>
      </c>
      <c r="C131" s="38" t="s">
        <v>208</v>
      </c>
      <c r="D131" s="42" t="s">
        <v>209</v>
      </c>
      <c r="E131" s="38" t="s">
        <v>122</v>
      </c>
      <c r="F131" s="36">
        <v>8</v>
      </c>
      <c r="G131" s="301" t="s">
        <v>425</v>
      </c>
      <c r="H131" s="302"/>
    </row>
    <row r="132" spans="1:8" s="41" customFormat="1">
      <c r="A132" s="37" t="s">
        <v>178</v>
      </c>
      <c r="B132" s="43" t="s">
        <v>764</v>
      </c>
      <c r="C132" s="38" t="s">
        <v>351</v>
      </c>
      <c r="D132" s="42" t="s">
        <v>350</v>
      </c>
      <c r="E132" s="38" t="s">
        <v>344</v>
      </c>
      <c r="F132" s="36">
        <v>2</v>
      </c>
      <c r="G132" s="312" t="s">
        <v>424</v>
      </c>
      <c r="H132" s="313"/>
    </row>
    <row r="133" spans="1:8" s="41" customFormat="1">
      <c r="A133" s="37" t="s">
        <v>244</v>
      </c>
      <c r="B133" s="43" t="s">
        <v>764</v>
      </c>
      <c r="C133" s="38" t="s">
        <v>255</v>
      </c>
      <c r="D133" s="42" t="s">
        <v>254</v>
      </c>
      <c r="E133" s="38" t="s">
        <v>122</v>
      </c>
      <c r="F133" s="36">
        <v>14</v>
      </c>
      <c r="G133" s="301" t="s">
        <v>425</v>
      </c>
      <c r="H133" s="302"/>
    </row>
    <row r="134" spans="1:8" s="41" customFormat="1" ht="29.25">
      <c r="A134" s="37" t="s">
        <v>260</v>
      </c>
      <c r="B134" s="43" t="s">
        <v>764</v>
      </c>
      <c r="C134" s="38" t="s">
        <v>259</v>
      </c>
      <c r="D134" s="42" t="s">
        <v>258</v>
      </c>
      <c r="E134" s="38" t="s">
        <v>122</v>
      </c>
      <c r="F134" s="36">
        <v>1</v>
      </c>
      <c r="G134" s="312" t="s">
        <v>424</v>
      </c>
      <c r="H134" s="313"/>
    </row>
    <row r="135" spans="1:8" s="41" customFormat="1">
      <c r="A135" s="37" t="s">
        <v>262</v>
      </c>
      <c r="B135" s="43" t="s">
        <v>764</v>
      </c>
      <c r="C135" s="38" t="s">
        <v>265</v>
      </c>
      <c r="D135" s="42" t="s">
        <v>264</v>
      </c>
      <c r="E135" s="38" t="s">
        <v>122</v>
      </c>
      <c r="F135" s="36">
        <v>1</v>
      </c>
      <c r="G135" s="312" t="s">
        <v>424</v>
      </c>
      <c r="H135" s="313"/>
    </row>
    <row r="136" spans="1:8" s="41" customFormat="1">
      <c r="A136" s="37" t="s">
        <v>263</v>
      </c>
      <c r="B136" s="43" t="s">
        <v>764</v>
      </c>
      <c r="C136" s="38" t="s">
        <v>268</v>
      </c>
      <c r="D136" s="42" t="s">
        <v>266</v>
      </c>
      <c r="E136" s="38" t="s">
        <v>122</v>
      </c>
      <c r="F136" s="36">
        <v>3</v>
      </c>
      <c r="G136" s="312" t="s">
        <v>424</v>
      </c>
      <c r="H136" s="313"/>
    </row>
    <row r="137" spans="1:8" s="41" customFormat="1">
      <c r="A137" s="37" t="s">
        <v>274</v>
      </c>
      <c r="B137" s="43" t="s">
        <v>764</v>
      </c>
      <c r="C137" s="38" t="s">
        <v>267</v>
      </c>
      <c r="D137" s="42" t="s">
        <v>283</v>
      </c>
      <c r="E137" s="38" t="s">
        <v>122</v>
      </c>
      <c r="F137" s="36">
        <v>3</v>
      </c>
      <c r="G137" s="312" t="s">
        <v>424</v>
      </c>
      <c r="H137" s="313"/>
    </row>
    <row r="138" spans="1:8" s="41" customFormat="1">
      <c r="A138" s="37" t="s">
        <v>275</v>
      </c>
      <c r="B138" s="43" t="s">
        <v>764</v>
      </c>
      <c r="C138" s="38" t="s">
        <v>270</v>
      </c>
      <c r="D138" s="42" t="s">
        <v>269</v>
      </c>
      <c r="E138" s="38" t="s">
        <v>122</v>
      </c>
      <c r="F138" s="36">
        <v>3</v>
      </c>
      <c r="G138" s="312" t="s">
        <v>424</v>
      </c>
      <c r="H138" s="313"/>
    </row>
    <row r="139" spans="1:8" s="41" customFormat="1">
      <c r="A139" s="37" t="s">
        <v>276</v>
      </c>
      <c r="B139" s="43" t="s">
        <v>764</v>
      </c>
      <c r="C139" s="38" t="s">
        <v>272</v>
      </c>
      <c r="D139" s="42" t="s">
        <v>271</v>
      </c>
      <c r="E139" s="38" t="s">
        <v>122</v>
      </c>
      <c r="F139" s="36">
        <v>3</v>
      </c>
      <c r="G139" s="312" t="s">
        <v>424</v>
      </c>
      <c r="H139" s="313"/>
    </row>
    <row r="140" spans="1:8" s="41" customFormat="1">
      <c r="A140" s="37" t="s">
        <v>277</v>
      </c>
      <c r="B140" s="43" t="s">
        <v>764</v>
      </c>
      <c r="C140" s="38" t="s">
        <v>273</v>
      </c>
      <c r="D140" s="42" t="s">
        <v>282</v>
      </c>
      <c r="E140" s="38" t="s">
        <v>36</v>
      </c>
      <c r="F140" s="36">
        <v>20</v>
      </c>
      <c r="G140" s="312" t="s">
        <v>424</v>
      </c>
      <c r="H140" s="313"/>
    </row>
    <row r="141" spans="1:8" s="41" customFormat="1">
      <c r="A141" s="37" t="s">
        <v>278</v>
      </c>
      <c r="B141" s="43" t="s">
        <v>764</v>
      </c>
      <c r="C141" s="38" t="s">
        <v>354</v>
      </c>
      <c r="D141" s="42" t="s">
        <v>355</v>
      </c>
      <c r="E141" s="38" t="s">
        <v>122</v>
      </c>
      <c r="F141" s="36">
        <v>4</v>
      </c>
      <c r="G141" s="301" t="s">
        <v>425</v>
      </c>
      <c r="H141" s="302"/>
    </row>
    <row r="142" spans="1:8" s="41" customFormat="1" ht="29.25">
      <c r="A142" s="37" t="s">
        <v>281</v>
      </c>
      <c r="B142" s="43" t="s">
        <v>764</v>
      </c>
      <c r="C142" s="38" t="s">
        <v>289</v>
      </c>
      <c r="D142" s="42" t="s">
        <v>290</v>
      </c>
      <c r="E142" s="38" t="s">
        <v>122</v>
      </c>
      <c r="F142" s="36">
        <v>6</v>
      </c>
      <c r="G142" s="301" t="s">
        <v>425</v>
      </c>
      <c r="H142" s="302"/>
    </row>
    <row r="143" spans="1:8">
      <c r="A143" s="12"/>
      <c r="B143" s="43"/>
      <c r="C143" s="6"/>
      <c r="D143" s="30"/>
      <c r="E143" s="6"/>
      <c r="F143" s="19"/>
      <c r="G143" s="312"/>
      <c r="H143" s="313"/>
    </row>
    <row r="144" spans="1:8">
      <c r="A144" s="10">
        <v>14</v>
      </c>
      <c r="B144" s="13"/>
      <c r="C144" s="13"/>
      <c r="D144" s="7" t="s">
        <v>76</v>
      </c>
      <c r="E144" s="13"/>
      <c r="F144" s="13"/>
      <c r="G144" s="308"/>
      <c r="H144" s="309"/>
    </row>
    <row r="145" spans="1:9" s="41" customFormat="1" ht="69" customHeight="1">
      <c r="A145" s="37" t="s">
        <v>68</v>
      </c>
      <c r="B145" s="43" t="s">
        <v>764</v>
      </c>
      <c r="C145" s="38" t="s">
        <v>152</v>
      </c>
      <c r="D145" s="39" t="s">
        <v>153</v>
      </c>
      <c r="E145" s="38" t="s">
        <v>36</v>
      </c>
      <c r="F145" s="36">
        <f>7.41+4.59+3.58+4.46+2.65+3.58+1.11+1.24+2+4.58+4.75+6.02+1.68+3.47+(1.64*3)+(0.86*5)</f>
        <v>60.339999999999996</v>
      </c>
      <c r="G145" s="301" t="s">
        <v>643</v>
      </c>
      <c r="H145" s="302"/>
    </row>
    <row r="146" spans="1:9" s="41" customFormat="1" ht="29.25">
      <c r="A146" s="37" t="s">
        <v>69</v>
      </c>
      <c r="B146" s="43" t="s">
        <v>764</v>
      </c>
      <c r="C146" s="38" t="s">
        <v>154</v>
      </c>
      <c r="D146" s="39" t="s">
        <v>155</v>
      </c>
      <c r="E146" s="38" t="s">
        <v>36</v>
      </c>
      <c r="F146" s="36">
        <f>2.07+2.07+0.7+0.7+2.2+0.8+0.8+2.66</f>
        <v>12.000000000000002</v>
      </c>
      <c r="G146" s="301" t="s">
        <v>717</v>
      </c>
      <c r="H146" s="302"/>
      <c r="I146" s="47"/>
    </row>
    <row r="147" spans="1:9" s="41" customFormat="1" ht="47.25" customHeight="1">
      <c r="A147" s="37" t="s">
        <v>70</v>
      </c>
      <c r="B147" s="43" t="s">
        <v>764</v>
      </c>
      <c r="C147" s="38" t="s">
        <v>156</v>
      </c>
      <c r="D147" s="39" t="s">
        <v>157</v>
      </c>
      <c r="E147" s="38" t="s">
        <v>36</v>
      </c>
      <c r="F147" s="36">
        <f>1.5+1.5+2.2+2.2+2.4+2.4+3.8+1.5+1.5+6</f>
        <v>25</v>
      </c>
      <c r="G147" s="301" t="s">
        <v>718</v>
      </c>
      <c r="H147" s="302"/>
    </row>
    <row r="148" spans="1:9" s="41" customFormat="1">
      <c r="A148" s="37" t="s">
        <v>360</v>
      </c>
      <c r="B148" s="43" t="s">
        <v>764</v>
      </c>
      <c r="C148" s="38" t="s">
        <v>158</v>
      </c>
      <c r="D148" s="39" t="s">
        <v>159</v>
      </c>
      <c r="E148" s="38" t="s">
        <v>122</v>
      </c>
      <c r="F148" s="36">
        <v>4</v>
      </c>
      <c r="G148" s="301" t="s">
        <v>426</v>
      </c>
      <c r="H148" s="302"/>
      <c r="I148" s="47"/>
    </row>
    <row r="149" spans="1:9" s="41" customFormat="1">
      <c r="A149" s="37" t="s">
        <v>361</v>
      </c>
      <c r="B149" s="43" t="s">
        <v>764</v>
      </c>
      <c r="C149" s="38" t="s">
        <v>621</v>
      </c>
      <c r="D149" s="39" t="s">
        <v>620</v>
      </c>
      <c r="E149" s="38" t="s">
        <v>122</v>
      </c>
      <c r="F149" s="36">
        <v>4</v>
      </c>
      <c r="G149" s="301" t="s">
        <v>426</v>
      </c>
      <c r="H149" s="302"/>
    </row>
    <row r="150" spans="1:9" s="41" customFormat="1" ht="30.75" customHeight="1">
      <c r="A150" s="37" t="s">
        <v>362</v>
      </c>
      <c r="B150" s="43" t="s">
        <v>764</v>
      </c>
      <c r="C150" s="38" t="s">
        <v>160</v>
      </c>
      <c r="D150" s="39" t="s">
        <v>161</v>
      </c>
      <c r="E150" s="38" t="s">
        <v>36</v>
      </c>
      <c r="F150" s="36">
        <f>(7*2.5)+((1.88+1.88+12))+8*2</f>
        <v>49.26</v>
      </c>
      <c r="G150" s="301" t="s">
        <v>427</v>
      </c>
      <c r="H150" s="302"/>
      <c r="I150" s="47"/>
    </row>
    <row r="151" spans="1:9" s="41" customFormat="1" ht="33" customHeight="1">
      <c r="A151" s="37" t="s">
        <v>363</v>
      </c>
      <c r="B151" s="43" t="s">
        <v>764</v>
      </c>
      <c r="C151" s="38" t="s">
        <v>162</v>
      </c>
      <c r="D151" s="39" t="s">
        <v>163</v>
      </c>
      <c r="E151" s="38" t="s">
        <v>36</v>
      </c>
      <c r="F151" s="36">
        <f>9*2.8</f>
        <v>25.2</v>
      </c>
      <c r="G151" s="301" t="s">
        <v>428</v>
      </c>
      <c r="H151" s="302"/>
    </row>
    <row r="152" spans="1:9" s="41" customFormat="1">
      <c r="A152" s="37" t="s">
        <v>364</v>
      </c>
      <c r="B152" s="43" t="s">
        <v>764</v>
      </c>
      <c r="C152" s="38" t="s">
        <v>187</v>
      </c>
      <c r="D152" s="39" t="s">
        <v>188</v>
      </c>
      <c r="E152" s="38" t="s">
        <v>36</v>
      </c>
      <c r="F152" s="36">
        <f>12</f>
        <v>12</v>
      </c>
      <c r="G152" s="301" t="s">
        <v>426</v>
      </c>
      <c r="H152" s="302"/>
    </row>
    <row r="153" spans="1:9" s="41" customFormat="1">
      <c r="A153" s="37" t="s">
        <v>365</v>
      </c>
      <c r="B153" s="43" t="s">
        <v>764</v>
      </c>
      <c r="C153" s="6" t="s">
        <v>394</v>
      </c>
      <c r="D153" s="2" t="s">
        <v>395</v>
      </c>
      <c r="E153" s="6" t="s">
        <v>122</v>
      </c>
      <c r="F153" s="74">
        <v>3</v>
      </c>
      <c r="G153" s="301" t="s">
        <v>426</v>
      </c>
      <c r="H153" s="302"/>
    </row>
    <row r="154" spans="1:9">
      <c r="A154" s="12"/>
      <c r="B154" s="43"/>
      <c r="C154" s="6"/>
      <c r="D154" s="30"/>
      <c r="E154" s="6"/>
      <c r="F154" s="19"/>
      <c r="G154" s="312"/>
      <c r="H154" s="313"/>
    </row>
    <row r="155" spans="1:9">
      <c r="A155" s="10">
        <v>15</v>
      </c>
      <c r="B155" s="13"/>
      <c r="C155" s="13"/>
      <c r="D155" s="7" t="s">
        <v>125</v>
      </c>
      <c r="E155" s="13"/>
      <c r="F155" s="13"/>
      <c r="G155" s="308"/>
      <c r="H155" s="309"/>
    </row>
    <row r="156" spans="1:9" ht="29.25">
      <c r="A156" s="12" t="s">
        <v>71</v>
      </c>
      <c r="B156" s="43" t="s">
        <v>764</v>
      </c>
      <c r="C156" s="6" t="s">
        <v>126</v>
      </c>
      <c r="D156" s="26" t="s">
        <v>127</v>
      </c>
      <c r="E156" s="6" t="s">
        <v>36</v>
      </c>
      <c r="F156" s="19">
        <f>2*0.9</f>
        <v>1.8</v>
      </c>
      <c r="G156" s="321" t="s">
        <v>429</v>
      </c>
      <c r="H156" s="322"/>
    </row>
    <row r="157" spans="1:9" ht="29.25">
      <c r="A157" s="12" t="s">
        <v>72</v>
      </c>
      <c r="B157" s="43" t="s">
        <v>764</v>
      </c>
      <c r="C157" s="6" t="s">
        <v>128</v>
      </c>
      <c r="D157" s="26" t="s">
        <v>129</v>
      </c>
      <c r="E157" s="6" t="s">
        <v>122</v>
      </c>
      <c r="F157" s="19">
        <v>6</v>
      </c>
      <c r="G157" s="321" t="s">
        <v>421</v>
      </c>
      <c r="H157" s="322"/>
      <c r="I157" s="32"/>
    </row>
    <row r="158" spans="1:9" s="41" customFormat="1" ht="29.25">
      <c r="A158" s="12" t="s">
        <v>73</v>
      </c>
      <c r="B158" s="43" t="s">
        <v>764</v>
      </c>
      <c r="C158" s="38" t="s">
        <v>130</v>
      </c>
      <c r="D158" s="39" t="s">
        <v>131</v>
      </c>
      <c r="E158" s="38" t="s">
        <v>122</v>
      </c>
      <c r="F158" s="36">
        <v>8</v>
      </c>
      <c r="G158" s="321" t="s">
        <v>421</v>
      </c>
      <c r="H158" s="322"/>
    </row>
    <row r="159" spans="1:9">
      <c r="A159" s="12" t="s">
        <v>74</v>
      </c>
      <c r="B159" s="43" t="s">
        <v>764</v>
      </c>
      <c r="C159" s="6" t="s">
        <v>164</v>
      </c>
      <c r="D159" s="26" t="s">
        <v>165</v>
      </c>
      <c r="E159" s="6" t="s">
        <v>122</v>
      </c>
      <c r="F159" s="19">
        <v>2</v>
      </c>
      <c r="G159" s="321" t="s">
        <v>421</v>
      </c>
      <c r="H159" s="322"/>
    </row>
    <row r="160" spans="1:9">
      <c r="A160" s="12" t="s">
        <v>75</v>
      </c>
      <c r="B160" s="43" t="s">
        <v>764</v>
      </c>
      <c r="C160" s="6" t="s">
        <v>726</v>
      </c>
      <c r="D160" s="26" t="s">
        <v>725</v>
      </c>
      <c r="E160" s="6" t="s">
        <v>122</v>
      </c>
      <c r="F160" s="19">
        <v>2</v>
      </c>
      <c r="G160" s="321" t="s">
        <v>421</v>
      </c>
      <c r="H160" s="322"/>
    </row>
    <row r="161" spans="1:8" s="41" customFormat="1" ht="29.25">
      <c r="A161" s="12" t="s">
        <v>151</v>
      </c>
      <c r="B161" s="43" t="s">
        <v>764</v>
      </c>
      <c r="C161" s="63" t="s">
        <v>256</v>
      </c>
      <c r="D161" s="39" t="s">
        <v>257</v>
      </c>
      <c r="E161" s="38" t="s">
        <v>122</v>
      </c>
      <c r="F161" s="36">
        <v>2</v>
      </c>
      <c r="G161" s="321" t="s">
        <v>421</v>
      </c>
      <c r="H161" s="322"/>
    </row>
    <row r="162" spans="1:8">
      <c r="A162" s="12" t="s">
        <v>213</v>
      </c>
      <c r="B162" s="43" t="s">
        <v>764</v>
      </c>
      <c r="C162" s="6" t="s">
        <v>166</v>
      </c>
      <c r="D162" s="26" t="s">
        <v>167</v>
      </c>
      <c r="E162" s="6" t="s">
        <v>122</v>
      </c>
      <c r="F162" s="19">
        <v>9</v>
      </c>
      <c r="G162" s="321" t="s">
        <v>431</v>
      </c>
      <c r="H162" s="322"/>
    </row>
    <row r="163" spans="1:8">
      <c r="A163" s="12" t="s">
        <v>214</v>
      </c>
      <c r="B163" s="43" t="s">
        <v>764</v>
      </c>
      <c r="C163" s="6" t="s">
        <v>168</v>
      </c>
      <c r="D163" s="26" t="s">
        <v>169</v>
      </c>
      <c r="E163" s="6" t="s">
        <v>122</v>
      </c>
      <c r="F163" s="19">
        <v>9</v>
      </c>
      <c r="G163" s="321" t="s">
        <v>431</v>
      </c>
      <c r="H163" s="322"/>
    </row>
    <row r="164" spans="1:8">
      <c r="A164" s="12" t="s">
        <v>215</v>
      </c>
      <c r="B164" s="43" t="s">
        <v>764</v>
      </c>
      <c r="C164" s="6" t="s">
        <v>185</v>
      </c>
      <c r="D164" s="34" t="s">
        <v>186</v>
      </c>
      <c r="E164" s="6" t="s">
        <v>122</v>
      </c>
      <c r="F164" s="19">
        <v>2</v>
      </c>
      <c r="G164" s="321" t="s">
        <v>430</v>
      </c>
      <c r="H164" s="322"/>
    </row>
    <row r="165" spans="1:8">
      <c r="A165" s="12" t="s">
        <v>216</v>
      </c>
      <c r="B165" s="43" t="s">
        <v>764</v>
      </c>
      <c r="C165" s="68" t="s">
        <v>238</v>
      </c>
      <c r="D165" s="2" t="s">
        <v>237</v>
      </c>
      <c r="E165" s="6" t="s">
        <v>122</v>
      </c>
      <c r="F165" s="19">
        <v>9</v>
      </c>
      <c r="G165" s="321" t="s">
        <v>431</v>
      </c>
      <c r="H165" s="322"/>
    </row>
    <row r="166" spans="1:8" ht="29.25">
      <c r="A166" s="12" t="s">
        <v>217</v>
      </c>
      <c r="B166" s="43" t="s">
        <v>764</v>
      </c>
      <c r="C166" s="63" t="s">
        <v>285</v>
      </c>
      <c r="D166" s="39" t="s">
        <v>284</v>
      </c>
      <c r="E166" s="38" t="s">
        <v>122</v>
      </c>
      <c r="F166" s="36">
        <v>4</v>
      </c>
      <c r="G166" s="321" t="s">
        <v>431</v>
      </c>
      <c r="H166" s="322"/>
    </row>
    <row r="167" spans="1:8">
      <c r="A167" s="12" t="s">
        <v>288</v>
      </c>
      <c r="B167" s="43" t="s">
        <v>764</v>
      </c>
      <c r="C167" s="6" t="s">
        <v>189</v>
      </c>
      <c r="D167" s="26" t="s">
        <v>190</v>
      </c>
      <c r="E167" s="6" t="s">
        <v>122</v>
      </c>
      <c r="F167" s="19">
        <v>1</v>
      </c>
      <c r="G167" s="321" t="s">
        <v>432</v>
      </c>
      <c r="H167" s="322"/>
    </row>
    <row r="168" spans="1:8">
      <c r="A168" s="12" t="s">
        <v>370</v>
      </c>
      <c r="B168" s="43" t="s">
        <v>764</v>
      </c>
      <c r="C168" s="6" t="s">
        <v>170</v>
      </c>
      <c r="D168" s="26" t="s">
        <v>171</v>
      </c>
      <c r="E168" s="6" t="s">
        <v>122</v>
      </c>
      <c r="F168" s="19">
        <v>1</v>
      </c>
      <c r="G168" s="321" t="s">
        <v>433</v>
      </c>
      <c r="H168" s="322"/>
    </row>
    <row r="169" spans="1:8">
      <c r="A169" s="12" t="s">
        <v>371</v>
      </c>
      <c r="B169" s="43" t="s">
        <v>764</v>
      </c>
      <c r="C169" s="6" t="s">
        <v>229</v>
      </c>
      <c r="D169" s="26" t="s">
        <v>230</v>
      </c>
      <c r="E169" s="6" t="s">
        <v>122</v>
      </c>
      <c r="F169" s="36">
        <v>2</v>
      </c>
      <c r="G169" s="321" t="s">
        <v>430</v>
      </c>
      <c r="H169" s="322"/>
    </row>
    <row r="170" spans="1:8" ht="29.25">
      <c r="A170" s="12" t="s">
        <v>372</v>
      </c>
      <c r="B170" s="43" t="s">
        <v>764</v>
      </c>
      <c r="C170" s="44" t="s">
        <v>382</v>
      </c>
      <c r="D170" s="27" t="s">
        <v>381</v>
      </c>
      <c r="E170" s="6" t="s">
        <v>122</v>
      </c>
      <c r="F170" s="36">
        <v>8</v>
      </c>
      <c r="G170" s="321" t="s">
        <v>430</v>
      </c>
      <c r="H170" s="322"/>
    </row>
    <row r="171" spans="1:8" s="41" customFormat="1">
      <c r="A171" s="12" t="s">
        <v>373</v>
      </c>
      <c r="B171" s="43" t="s">
        <v>764</v>
      </c>
      <c r="C171" s="38" t="s">
        <v>236</v>
      </c>
      <c r="D171" s="39" t="s">
        <v>235</v>
      </c>
      <c r="E171" s="38" t="s">
        <v>33</v>
      </c>
      <c r="F171" s="36">
        <f>0.5</f>
        <v>0.5</v>
      </c>
      <c r="G171" s="321" t="s">
        <v>430</v>
      </c>
      <c r="H171" s="322"/>
    </row>
    <row r="172" spans="1:8" s="41" customFormat="1" ht="33.75" customHeight="1">
      <c r="A172" s="12" t="s">
        <v>374</v>
      </c>
      <c r="B172" s="43" t="s">
        <v>764</v>
      </c>
      <c r="C172" s="38" t="s">
        <v>369</v>
      </c>
      <c r="D172" s="39" t="s">
        <v>366</v>
      </c>
      <c r="E172" s="38" t="s">
        <v>122</v>
      </c>
      <c r="F172" s="36">
        <v>8</v>
      </c>
      <c r="G172" s="303" t="s">
        <v>441</v>
      </c>
      <c r="H172" s="304"/>
    </row>
    <row r="173" spans="1:8" s="41" customFormat="1" ht="43.5" customHeight="1">
      <c r="A173" s="12" t="s">
        <v>375</v>
      </c>
      <c r="B173" s="43" t="s">
        <v>764</v>
      </c>
      <c r="C173" s="38" t="s">
        <v>367</v>
      </c>
      <c r="D173" s="39" t="s">
        <v>368</v>
      </c>
      <c r="E173" s="38" t="s">
        <v>122</v>
      </c>
      <c r="F173" s="33">
        <v>10</v>
      </c>
      <c r="G173" s="303" t="s">
        <v>751</v>
      </c>
      <c r="H173" s="304"/>
    </row>
    <row r="174" spans="1:8" s="41" customFormat="1" ht="29.25">
      <c r="A174" s="12" t="s">
        <v>376</v>
      </c>
      <c r="B174" s="43" t="s">
        <v>764</v>
      </c>
      <c r="C174" s="63" t="s">
        <v>287</v>
      </c>
      <c r="D174" s="39" t="s">
        <v>286</v>
      </c>
      <c r="E174" s="38" t="s">
        <v>122</v>
      </c>
      <c r="F174" s="36">
        <v>2</v>
      </c>
      <c r="G174" s="321" t="s">
        <v>434</v>
      </c>
      <c r="H174" s="322"/>
    </row>
    <row r="175" spans="1:8" s="41" customFormat="1">
      <c r="A175" s="12" t="s">
        <v>377</v>
      </c>
      <c r="B175" s="43" t="s">
        <v>764</v>
      </c>
      <c r="C175" s="63" t="s">
        <v>291</v>
      </c>
      <c r="D175" s="39" t="s">
        <v>292</v>
      </c>
      <c r="E175" s="38" t="s">
        <v>122</v>
      </c>
      <c r="F175" s="36">
        <v>10</v>
      </c>
      <c r="G175" s="321" t="s">
        <v>434</v>
      </c>
      <c r="H175" s="322"/>
    </row>
    <row r="176" spans="1:8" s="41" customFormat="1" ht="31.5" customHeight="1">
      <c r="A176" s="12" t="s">
        <v>378</v>
      </c>
      <c r="B176" s="43" t="s">
        <v>764</v>
      </c>
      <c r="C176" s="63" t="s">
        <v>295</v>
      </c>
      <c r="D176" s="39" t="s">
        <v>294</v>
      </c>
      <c r="E176" s="38" t="s">
        <v>33</v>
      </c>
      <c r="F176" s="36">
        <f>2.4*0.8*2+1.25*0.8*2</f>
        <v>5.84</v>
      </c>
      <c r="G176" s="303" t="s">
        <v>719</v>
      </c>
      <c r="H176" s="304"/>
    </row>
    <row r="177" spans="1:9" s="41" customFormat="1" ht="29.25">
      <c r="A177" s="12" t="s">
        <v>379</v>
      </c>
      <c r="B177" s="43" t="s">
        <v>764</v>
      </c>
      <c r="C177" s="63" t="s">
        <v>297</v>
      </c>
      <c r="D177" s="39" t="s">
        <v>296</v>
      </c>
      <c r="E177" s="38" t="s">
        <v>122</v>
      </c>
      <c r="F177" s="36">
        <v>6</v>
      </c>
      <c r="G177" s="321" t="s">
        <v>434</v>
      </c>
      <c r="H177" s="322"/>
    </row>
    <row r="178" spans="1:9" s="41" customFormat="1" ht="29.25">
      <c r="A178" s="12" t="s">
        <v>380</v>
      </c>
      <c r="B178" s="43" t="s">
        <v>764</v>
      </c>
      <c r="C178" s="63" t="s">
        <v>298</v>
      </c>
      <c r="D178" s="39" t="s">
        <v>299</v>
      </c>
      <c r="E178" s="38" t="s">
        <v>122</v>
      </c>
      <c r="F178" s="36">
        <v>6</v>
      </c>
      <c r="G178" s="321" t="s">
        <v>435</v>
      </c>
      <c r="H178" s="322"/>
    </row>
    <row r="179" spans="1:9" ht="29.25">
      <c r="A179" s="12" t="s">
        <v>729</v>
      </c>
      <c r="B179" s="43" t="s">
        <v>764</v>
      </c>
      <c r="C179" s="63" t="s">
        <v>728</v>
      </c>
      <c r="D179" s="39" t="s">
        <v>727</v>
      </c>
      <c r="E179" s="38" t="s">
        <v>122</v>
      </c>
      <c r="F179" s="36">
        <v>2</v>
      </c>
      <c r="G179" s="303" t="s">
        <v>733</v>
      </c>
      <c r="H179" s="304"/>
    </row>
    <row r="180" spans="1:9" ht="30" customHeight="1">
      <c r="A180" s="37" t="s">
        <v>731</v>
      </c>
      <c r="B180" s="43" t="s">
        <v>764</v>
      </c>
      <c r="C180" s="63" t="s">
        <v>736</v>
      </c>
      <c r="D180" s="39" t="s">
        <v>735</v>
      </c>
      <c r="E180" s="38" t="s">
        <v>122</v>
      </c>
      <c r="F180" s="36">
        <v>2</v>
      </c>
      <c r="G180" s="301" t="s">
        <v>741</v>
      </c>
      <c r="H180" s="302"/>
    </row>
    <row r="181" spans="1:9" ht="29.25">
      <c r="A181" s="37" t="s">
        <v>732</v>
      </c>
      <c r="B181" s="139" t="s">
        <v>737</v>
      </c>
      <c r="C181" s="63">
        <v>100875</v>
      </c>
      <c r="D181" s="39" t="s">
        <v>730</v>
      </c>
      <c r="E181" s="38" t="s">
        <v>122</v>
      </c>
      <c r="F181" s="36">
        <v>2</v>
      </c>
      <c r="G181" s="301" t="s">
        <v>742</v>
      </c>
      <c r="H181" s="302"/>
    </row>
    <row r="182" spans="1:9">
      <c r="A182" s="12"/>
      <c r="B182" s="6"/>
      <c r="C182" s="6"/>
      <c r="D182" s="30"/>
      <c r="E182" s="6"/>
      <c r="F182" s="19"/>
      <c r="G182" s="321"/>
      <c r="H182" s="322"/>
    </row>
    <row r="183" spans="1:9">
      <c r="A183" s="10">
        <v>16</v>
      </c>
      <c r="B183" s="13"/>
      <c r="C183" s="13"/>
      <c r="D183" s="7" t="s">
        <v>439</v>
      </c>
      <c r="E183" s="13"/>
      <c r="F183" s="13"/>
      <c r="G183" s="308"/>
      <c r="H183" s="309"/>
    </row>
    <row r="184" spans="1:9">
      <c r="A184" s="37" t="s">
        <v>79</v>
      </c>
      <c r="B184" s="43" t="s">
        <v>764</v>
      </c>
      <c r="C184" s="38" t="s">
        <v>96</v>
      </c>
      <c r="D184" s="45" t="s">
        <v>390</v>
      </c>
      <c r="E184" s="38" t="s">
        <v>34</v>
      </c>
      <c r="F184" s="36">
        <f>45.16*0.05</f>
        <v>2.258</v>
      </c>
      <c r="G184" s="312" t="s">
        <v>720</v>
      </c>
      <c r="H184" s="313"/>
    </row>
    <row r="185" spans="1:9" ht="29.25">
      <c r="A185" s="37" t="s">
        <v>80</v>
      </c>
      <c r="B185" s="43" t="s">
        <v>764</v>
      </c>
      <c r="C185" s="38" t="s">
        <v>39</v>
      </c>
      <c r="D185" s="45" t="s">
        <v>755</v>
      </c>
      <c r="E185" s="38" t="s">
        <v>34</v>
      </c>
      <c r="F185" s="36">
        <f>F184</f>
        <v>2.258</v>
      </c>
      <c r="G185" s="312" t="s">
        <v>720</v>
      </c>
      <c r="H185" s="313"/>
    </row>
    <row r="186" spans="1:9">
      <c r="A186" s="37" t="s">
        <v>633</v>
      </c>
      <c r="B186" s="43" t="s">
        <v>764</v>
      </c>
      <c r="C186" s="63" t="s">
        <v>384</v>
      </c>
      <c r="D186" s="39" t="s">
        <v>383</v>
      </c>
      <c r="E186" s="38" t="s">
        <v>33</v>
      </c>
      <c r="F186" s="36">
        <v>45.16</v>
      </c>
      <c r="G186" s="312" t="s">
        <v>436</v>
      </c>
      <c r="H186" s="313"/>
    </row>
    <row r="187" spans="1:9" ht="33" customHeight="1">
      <c r="A187" s="37" t="s">
        <v>757</v>
      </c>
      <c r="B187" s="43" t="s">
        <v>764</v>
      </c>
      <c r="C187" s="38" t="s">
        <v>388</v>
      </c>
      <c r="D187" s="45" t="s">
        <v>387</v>
      </c>
      <c r="E187" s="38" t="s">
        <v>34</v>
      </c>
      <c r="F187" s="36">
        <f>45.16*0.15</f>
        <v>6.7739999999999991</v>
      </c>
      <c r="G187" s="301" t="s">
        <v>721</v>
      </c>
      <c r="H187" s="302"/>
    </row>
    <row r="188" spans="1:9">
      <c r="A188" s="12"/>
      <c r="B188" s="6"/>
      <c r="C188" s="6"/>
      <c r="D188" s="30"/>
      <c r="E188" s="6"/>
      <c r="F188" s="19"/>
      <c r="G188" s="312"/>
      <c r="H188" s="313"/>
    </row>
    <row r="189" spans="1:9">
      <c r="A189" s="10">
        <v>17</v>
      </c>
      <c r="B189" s="13"/>
      <c r="C189" s="13"/>
      <c r="D189" s="7" t="s">
        <v>29</v>
      </c>
      <c r="E189" s="13"/>
      <c r="F189" s="13"/>
      <c r="G189" s="308"/>
      <c r="H189" s="309"/>
      <c r="I189" s="23"/>
    </row>
    <row r="190" spans="1:9">
      <c r="A190" s="12" t="s">
        <v>81</v>
      </c>
      <c r="B190" s="43" t="s">
        <v>764</v>
      </c>
      <c r="C190" s="6" t="s">
        <v>172</v>
      </c>
      <c r="D190" s="2" t="s">
        <v>173</v>
      </c>
      <c r="E190" s="6" t="s">
        <v>33</v>
      </c>
      <c r="F190" s="19">
        <v>58.51</v>
      </c>
      <c r="G190" s="321" t="s">
        <v>437</v>
      </c>
      <c r="H190" s="322"/>
    </row>
    <row r="191" spans="1:9">
      <c r="A191" s="12"/>
      <c r="B191" s="43"/>
      <c r="C191" s="6"/>
      <c r="D191" s="2"/>
      <c r="E191" s="6"/>
      <c r="F191" s="19"/>
      <c r="G191" s="321"/>
      <c r="H191" s="322"/>
    </row>
    <row r="192" spans="1:9">
      <c r="A192" s="10" t="s">
        <v>463</v>
      </c>
      <c r="B192" s="13"/>
      <c r="C192" s="13"/>
      <c r="D192" s="7" t="s">
        <v>484</v>
      </c>
      <c r="E192" s="13"/>
      <c r="F192" s="13"/>
      <c r="G192" s="308"/>
      <c r="H192" s="309"/>
    </row>
    <row r="193" spans="1:13">
      <c r="A193" s="10">
        <v>1</v>
      </c>
      <c r="B193" s="13"/>
      <c r="C193" s="13"/>
      <c r="D193" s="7" t="s">
        <v>501</v>
      </c>
      <c r="E193" s="13"/>
      <c r="F193" s="13"/>
      <c r="G193" s="308"/>
      <c r="H193" s="309"/>
      <c r="M193" s="35"/>
    </row>
    <row r="194" spans="1:13">
      <c r="A194" s="2" t="s">
        <v>8</v>
      </c>
      <c r="B194" s="43" t="s">
        <v>764</v>
      </c>
      <c r="C194" s="139" t="s">
        <v>489</v>
      </c>
      <c r="D194" s="140" t="s">
        <v>486</v>
      </c>
      <c r="E194" s="139" t="s">
        <v>487</v>
      </c>
      <c r="F194" s="141">
        <v>882.72</v>
      </c>
      <c r="G194" s="331" t="s">
        <v>546</v>
      </c>
      <c r="H194" s="332" t="s">
        <v>546</v>
      </c>
      <c r="M194" s="23"/>
    </row>
    <row r="195" spans="1:13" ht="46.5" customHeight="1">
      <c r="A195" s="2" t="s">
        <v>112</v>
      </c>
      <c r="B195" s="43" t="s">
        <v>764</v>
      </c>
      <c r="C195" s="139" t="s">
        <v>490</v>
      </c>
      <c r="D195" s="140" t="s">
        <v>488</v>
      </c>
      <c r="E195" s="139" t="s">
        <v>487</v>
      </c>
      <c r="F195" s="141">
        <v>91.07</v>
      </c>
      <c r="G195" s="331" t="s">
        <v>547</v>
      </c>
      <c r="H195" s="332" t="s">
        <v>547</v>
      </c>
    </row>
    <row r="196" spans="1:13">
      <c r="A196" s="2"/>
      <c r="B196" s="2"/>
      <c r="C196" s="2"/>
      <c r="D196" s="29"/>
      <c r="E196" s="2"/>
      <c r="F196" s="2"/>
      <c r="G196" s="327"/>
      <c r="H196" s="328"/>
    </row>
    <row r="197" spans="1:13">
      <c r="A197" s="10">
        <v>2</v>
      </c>
      <c r="B197" s="13"/>
      <c r="C197" s="13"/>
      <c r="D197" s="7" t="s">
        <v>491</v>
      </c>
      <c r="E197" s="13"/>
      <c r="F197" s="13"/>
      <c r="G197" s="308"/>
      <c r="H197" s="309"/>
    </row>
    <row r="198" spans="1:13">
      <c r="A198" s="2" t="s">
        <v>10</v>
      </c>
      <c r="B198" s="43" t="s">
        <v>764</v>
      </c>
      <c r="C198" s="139" t="s">
        <v>497</v>
      </c>
      <c r="D198" s="140" t="s">
        <v>492</v>
      </c>
      <c r="E198" s="139" t="s">
        <v>485</v>
      </c>
      <c r="F198" s="141">
        <v>99.2</v>
      </c>
      <c r="G198" s="329" t="s">
        <v>724</v>
      </c>
      <c r="H198" s="330" t="s">
        <v>548</v>
      </c>
    </row>
    <row r="199" spans="1:13">
      <c r="A199" s="2" t="s">
        <v>83</v>
      </c>
      <c r="B199" s="43" t="s">
        <v>764</v>
      </c>
      <c r="C199" s="139" t="s">
        <v>498</v>
      </c>
      <c r="D199" s="140" t="s">
        <v>493</v>
      </c>
      <c r="E199" s="139" t="s">
        <v>494</v>
      </c>
      <c r="F199" s="141">
        <v>4.97</v>
      </c>
      <c r="G199" s="329" t="s">
        <v>723</v>
      </c>
      <c r="H199" s="330" t="s">
        <v>549</v>
      </c>
    </row>
    <row r="200" spans="1:13">
      <c r="A200" s="2" t="s">
        <v>84</v>
      </c>
      <c r="B200" s="43" t="s">
        <v>764</v>
      </c>
      <c r="C200" s="139" t="s">
        <v>499</v>
      </c>
      <c r="D200" s="140" t="s">
        <v>495</v>
      </c>
      <c r="E200" s="139" t="s">
        <v>485</v>
      </c>
      <c r="F200" s="141">
        <v>20.75</v>
      </c>
      <c r="G200" s="329" t="s">
        <v>722</v>
      </c>
      <c r="H200" s="330" t="s">
        <v>550</v>
      </c>
    </row>
    <row r="201" spans="1:13" ht="42.75">
      <c r="A201" s="2" t="s">
        <v>85</v>
      </c>
      <c r="B201" s="43" t="s">
        <v>764</v>
      </c>
      <c r="C201" s="139" t="s">
        <v>500</v>
      </c>
      <c r="D201" s="140" t="s">
        <v>496</v>
      </c>
      <c r="E201" s="139" t="s">
        <v>494</v>
      </c>
      <c r="F201" s="141">
        <v>4.97</v>
      </c>
      <c r="G201" s="329" t="s">
        <v>723</v>
      </c>
      <c r="H201" s="330" t="s">
        <v>549</v>
      </c>
    </row>
    <row r="202" spans="1:13">
      <c r="A202" s="138"/>
      <c r="B202" s="138"/>
      <c r="C202" s="138"/>
      <c r="D202" s="138"/>
      <c r="E202" s="138"/>
      <c r="F202" s="138"/>
      <c r="G202" s="327"/>
      <c r="H202" s="328"/>
    </row>
    <row r="203" spans="1:13">
      <c r="A203" s="10">
        <v>3</v>
      </c>
      <c r="B203" s="13"/>
      <c r="C203" s="13"/>
      <c r="D203" s="7" t="s">
        <v>502</v>
      </c>
      <c r="E203" s="13"/>
      <c r="F203" s="13"/>
      <c r="G203" s="308"/>
      <c r="H203" s="309"/>
    </row>
    <row r="204" spans="1:13">
      <c r="A204" s="2" t="s">
        <v>11</v>
      </c>
      <c r="B204" s="43" t="s">
        <v>764</v>
      </c>
      <c r="C204" s="139" t="s">
        <v>506</v>
      </c>
      <c r="D204" s="140" t="s">
        <v>503</v>
      </c>
      <c r="E204" s="139" t="s">
        <v>494</v>
      </c>
      <c r="F204" s="141">
        <v>200</v>
      </c>
      <c r="G204" s="329" t="s">
        <v>642</v>
      </c>
      <c r="H204" s="330" t="s">
        <v>551</v>
      </c>
    </row>
    <row r="205" spans="1:13" ht="28.5">
      <c r="A205" s="2" t="s">
        <v>90</v>
      </c>
      <c r="B205" s="43" t="s">
        <v>764</v>
      </c>
      <c r="C205" s="139" t="s">
        <v>507</v>
      </c>
      <c r="D205" s="140" t="s">
        <v>504</v>
      </c>
      <c r="E205" s="139" t="s">
        <v>494</v>
      </c>
      <c r="F205" s="141">
        <v>200</v>
      </c>
      <c r="G205" s="329" t="s">
        <v>642</v>
      </c>
      <c r="H205" s="330" t="s">
        <v>551</v>
      </c>
    </row>
    <row r="206" spans="1:13" ht="28.5">
      <c r="A206" s="2" t="s">
        <v>91</v>
      </c>
      <c r="B206" s="43" t="s">
        <v>764</v>
      </c>
      <c r="C206" s="139" t="s">
        <v>508</v>
      </c>
      <c r="D206" s="145" t="s">
        <v>505</v>
      </c>
      <c r="E206" s="139" t="s">
        <v>485</v>
      </c>
      <c r="F206" s="141">
        <v>340</v>
      </c>
      <c r="G206" s="329" t="s">
        <v>552</v>
      </c>
      <c r="H206" s="330" t="s">
        <v>552</v>
      </c>
    </row>
    <row r="207" spans="1:13">
      <c r="A207" s="248" t="s">
        <v>92</v>
      </c>
      <c r="B207" s="43" t="s">
        <v>764</v>
      </c>
      <c r="C207" s="139" t="s">
        <v>388</v>
      </c>
      <c r="D207" s="145" t="s">
        <v>640</v>
      </c>
      <c r="E207" s="139" t="s">
        <v>494</v>
      </c>
      <c r="F207" s="141">
        <v>21.52</v>
      </c>
      <c r="G207" s="325" t="s">
        <v>642</v>
      </c>
      <c r="H207" s="326" t="s">
        <v>551</v>
      </c>
    </row>
    <row r="208" spans="1:13">
      <c r="A208" s="2"/>
      <c r="B208" s="2"/>
      <c r="C208" s="2"/>
      <c r="D208" s="29"/>
      <c r="E208" s="2"/>
      <c r="F208" s="2"/>
      <c r="G208" s="327"/>
      <c r="H208" s="328"/>
    </row>
    <row r="209" spans="1:9">
      <c r="A209" s="10">
        <v>4</v>
      </c>
      <c r="B209" s="13"/>
      <c r="C209" s="13"/>
      <c r="D209" s="7" t="s">
        <v>513</v>
      </c>
      <c r="E209" s="13"/>
      <c r="F209" s="13"/>
      <c r="G209" s="308"/>
      <c r="H209" s="309"/>
    </row>
    <row r="210" spans="1:9" ht="42.75">
      <c r="A210" s="2" t="s">
        <v>12</v>
      </c>
      <c r="B210" s="43" t="s">
        <v>764</v>
      </c>
      <c r="C210" s="139" t="s">
        <v>514</v>
      </c>
      <c r="D210" s="140" t="s">
        <v>509</v>
      </c>
      <c r="E210" s="139" t="s">
        <v>485</v>
      </c>
      <c r="F210" s="141">
        <v>882.72</v>
      </c>
      <c r="G210" s="331" t="s">
        <v>553</v>
      </c>
      <c r="H210" s="332" t="s">
        <v>553</v>
      </c>
    </row>
    <row r="211" spans="1:9" ht="28.5">
      <c r="A211" s="2" t="s">
        <v>13</v>
      </c>
      <c r="B211" s="43" t="s">
        <v>764</v>
      </c>
      <c r="C211" s="139" t="s">
        <v>508</v>
      </c>
      <c r="D211" s="140" t="s">
        <v>505</v>
      </c>
      <c r="E211" s="139" t="s">
        <v>485</v>
      </c>
      <c r="F211" s="141">
        <v>882.72</v>
      </c>
      <c r="G211" s="331" t="s">
        <v>554</v>
      </c>
      <c r="H211" s="332" t="s">
        <v>554</v>
      </c>
    </row>
    <row r="212" spans="1:9" ht="28.5">
      <c r="A212" s="2" t="s">
        <v>14</v>
      </c>
      <c r="B212" s="139" t="s">
        <v>515</v>
      </c>
      <c r="C212" s="139">
        <v>94263</v>
      </c>
      <c r="D212" s="145" t="s">
        <v>510</v>
      </c>
      <c r="E212" s="139" t="s">
        <v>487</v>
      </c>
      <c r="F212" s="141">
        <v>560.32000000000005</v>
      </c>
      <c r="G212" s="331" t="s">
        <v>555</v>
      </c>
      <c r="H212" s="332" t="s">
        <v>555</v>
      </c>
    </row>
    <row r="213" spans="1:9" ht="28.5">
      <c r="A213" s="2" t="s">
        <v>35</v>
      </c>
      <c r="B213" s="139" t="s">
        <v>515</v>
      </c>
      <c r="C213" s="139">
        <v>102498</v>
      </c>
      <c r="D213" s="140" t="s">
        <v>511</v>
      </c>
      <c r="E213" s="139" t="s">
        <v>487</v>
      </c>
      <c r="F213" s="141">
        <v>560.32000000000005</v>
      </c>
      <c r="G213" s="331" t="s">
        <v>556</v>
      </c>
      <c r="H213" s="332" t="s">
        <v>556</v>
      </c>
    </row>
    <row r="214" spans="1:9" ht="42.75">
      <c r="A214" s="2" t="s">
        <v>324</v>
      </c>
      <c r="B214" s="43" t="s">
        <v>764</v>
      </c>
      <c r="C214" s="139" t="s">
        <v>516</v>
      </c>
      <c r="D214" s="140" t="s">
        <v>512</v>
      </c>
      <c r="E214" s="139" t="s">
        <v>485</v>
      </c>
      <c r="F214" s="141">
        <v>882.72</v>
      </c>
      <c r="G214" s="331" t="s">
        <v>557</v>
      </c>
      <c r="H214" s="332" t="s">
        <v>557</v>
      </c>
    </row>
    <row r="215" spans="1:9">
      <c r="A215" s="2" t="s">
        <v>325</v>
      </c>
      <c r="B215" s="43" t="s">
        <v>764</v>
      </c>
      <c r="C215" s="139" t="s">
        <v>762</v>
      </c>
      <c r="D215" s="140" t="s">
        <v>761</v>
      </c>
      <c r="E215" s="139" t="s">
        <v>33</v>
      </c>
      <c r="F215" s="141">
        <f>F214</f>
        <v>882.72</v>
      </c>
      <c r="G215" s="331" t="s">
        <v>763</v>
      </c>
      <c r="H215" s="332"/>
    </row>
    <row r="216" spans="1:9" ht="28.5" customHeight="1">
      <c r="A216" s="2" t="s">
        <v>326</v>
      </c>
      <c r="B216" s="43" t="s">
        <v>764</v>
      </c>
      <c r="C216" s="139" t="s">
        <v>657</v>
      </c>
      <c r="D216" s="140" t="s">
        <v>658</v>
      </c>
      <c r="E216" s="139" t="s">
        <v>485</v>
      </c>
      <c r="F216" s="141">
        <v>242.33</v>
      </c>
      <c r="G216" s="310" t="s">
        <v>659</v>
      </c>
      <c r="H216" s="311"/>
    </row>
    <row r="217" spans="1:9" ht="44.25" customHeight="1">
      <c r="A217" s="2" t="s">
        <v>327</v>
      </c>
      <c r="B217" s="43" t="s">
        <v>764</v>
      </c>
      <c r="C217" s="139" t="s">
        <v>405</v>
      </c>
      <c r="D217" s="140" t="s">
        <v>670</v>
      </c>
      <c r="E217" s="139" t="s">
        <v>485</v>
      </c>
      <c r="F217" s="141">
        <f>14.18+59.69</f>
        <v>73.87</v>
      </c>
      <c r="G217" s="310" t="s">
        <v>753</v>
      </c>
      <c r="H217" s="311"/>
    </row>
    <row r="218" spans="1:9" ht="33.75" customHeight="1">
      <c r="A218" s="2" t="s">
        <v>328</v>
      </c>
      <c r="B218" s="43" t="s">
        <v>764</v>
      </c>
      <c r="C218" s="38" t="s">
        <v>96</v>
      </c>
      <c r="D218" s="45" t="s">
        <v>754</v>
      </c>
      <c r="E218" s="38" t="s">
        <v>34</v>
      </c>
      <c r="F218" s="36">
        <f>73.87*0.035</f>
        <v>2.5854500000000002</v>
      </c>
      <c r="G218" s="310" t="s">
        <v>756</v>
      </c>
      <c r="H218" s="311"/>
    </row>
    <row r="219" spans="1:9" ht="33" customHeight="1">
      <c r="A219" s="2" t="s">
        <v>329</v>
      </c>
      <c r="B219" s="43" t="s">
        <v>764</v>
      </c>
      <c r="C219" s="38" t="s">
        <v>39</v>
      </c>
      <c r="D219" s="45" t="s">
        <v>755</v>
      </c>
      <c r="E219" s="38" t="s">
        <v>34</v>
      </c>
      <c r="F219" s="36">
        <f>F218</f>
        <v>2.5854500000000002</v>
      </c>
      <c r="G219" s="310" t="s">
        <v>756</v>
      </c>
      <c r="H219" s="311"/>
    </row>
    <row r="220" spans="1:9">
      <c r="A220" s="138"/>
      <c r="B220" s="138"/>
      <c r="C220" s="138"/>
      <c r="D220" s="29"/>
      <c r="E220" s="2"/>
      <c r="F220" s="2"/>
      <c r="G220" s="327"/>
      <c r="H220" s="328"/>
    </row>
    <row r="221" spans="1:9">
      <c r="A221" s="10">
        <v>5</v>
      </c>
      <c r="B221" s="13"/>
      <c r="C221" s="13"/>
      <c r="D221" s="7" t="s">
        <v>522</v>
      </c>
      <c r="E221" s="13"/>
      <c r="F221" s="13"/>
      <c r="G221" s="308"/>
      <c r="H221" s="309"/>
    </row>
    <row r="222" spans="1:9" ht="28.5">
      <c r="A222" s="2" t="s">
        <v>330</v>
      </c>
      <c r="B222" s="146" t="s">
        <v>523</v>
      </c>
      <c r="C222" s="147" t="s">
        <v>524</v>
      </c>
      <c r="D222" s="140" t="s">
        <v>518</v>
      </c>
      <c r="E222" s="139" t="s">
        <v>519</v>
      </c>
      <c r="F222" s="141">
        <v>2</v>
      </c>
      <c r="G222" s="329" t="s">
        <v>781</v>
      </c>
      <c r="H222" s="330" t="s">
        <v>558</v>
      </c>
      <c r="I222" s="23"/>
    </row>
    <row r="223" spans="1:9">
      <c r="A223" s="2" t="s">
        <v>16</v>
      </c>
      <c r="B223" s="43" t="s">
        <v>764</v>
      </c>
      <c r="C223" s="147" t="s">
        <v>525</v>
      </c>
      <c r="D223" s="140" t="s">
        <v>520</v>
      </c>
      <c r="E223" s="139" t="s">
        <v>485</v>
      </c>
      <c r="F223" s="141">
        <f>2*2.33*1.4/2</f>
        <v>3.262</v>
      </c>
      <c r="G223" s="329" t="s">
        <v>752</v>
      </c>
      <c r="H223" s="330" t="s">
        <v>559</v>
      </c>
    </row>
    <row r="224" spans="1:9">
      <c r="A224" s="138"/>
      <c r="B224" s="138"/>
      <c r="C224" s="138"/>
      <c r="D224" s="29"/>
      <c r="E224" s="2"/>
      <c r="F224" s="2"/>
      <c r="G224" s="327"/>
      <c r="H224" s="328"/>
    </row>
    <row r="225" spans="1:11">
      <c r="A225" s="10">
        <v>6</v>
      </c>
      <c r="B225" s="13"/>
      <c r="C225" s="13"/>
      <c r="D225" s="7" t="s">
        <v>527</v>
      </c>
      <c r="E225" s="13"/>
      <c r="F225" s="13"/>
      <c r="G225" s="308"/>
      <c r="H225" s="309"/>
      <c r="I225" s="64"/>
      <c r="J225" s="64"/>
      <c r="K225" s="64"/>
    </row>
    <row r="226" spans="1:11">
      <c r="A226" s="255" t="s">
        <v>17</v>
      </c>
      <c r="B226" s="43" t="s">
        <v>764</v>
      </c>
      <c r="C226" s="256" t="s">
        <v>743</v>
      </c>
      <c r="D226" s="257" t="s">
        <v>744</v>
      </c>
      <c r="E226" s="151" t="s">
        <v>485</v>
      </c>
      <c r="F226" s="152">
        <v>1.56</v>
      </c>
      <c r="G226" s="325" t="s">
        <v>745</v>
      </c>
      <c r="H226" s="326"/>
      <c r="I226" s="66"/>
      <c r="J226" s="64"/>
      <c r="K226" s="64"/>
    </row>
    <row r="227" spans="1:11" ht="28.5" customHeight="1">
      <c r="A227" s="248" t="s">
        <v>18</v>
      </c>
      <c r="B227" s="43" t="s">
        <v>764</v>
      </c>
      <c r="C227" s="148" t="s">
        <v>96</v>
      </c>
      <c r="D227" s="140" t="s">
        <v>644</v>
      </c>
      <c r="E227" s="149" t="s">
        <v>494</v>
      </c>
      <c r="F227" s="141">
        <v>2.27</v>
      </c>
      <c r="G227" s="325" t="s">
        <v>746</v>
      </c>
      <c r="H227" s="326"/>
      <c r="I227" s="66"/>
      <c r="J227" s="64"/>
      <c r="K227" s="64"/>
    </row>
    <row r="228" spans="1:11" ht="15" customHeight="1">
      <c r="A228" s="248" t="s">
        <v>179</v>
      </c>
      <c r="B228" s="43" t="s">
        <v>764</v>
      </c>
      <c r="C228" s="148" t="s">
        <v>645</v>
      </c>
      <c r="D228" s="140" t="s">
        <v>646</v>
      </c>
      <c r="E228" s="149" t="s">
        <v>494</v>
      </c>
      <c r="F228" s="141">
        <v>2.27</v>
      </c>
      <c r="G228" s="325" t="s">
        <v>746</v>
      </c>
      <c r="H228" s="326"/>
      <c r="I228" s="66"/>
      <c r="J228" s="64"/>
      <c r="K228" s="64"/>
    </row>
    <row r="229" spans="1:11" ht="32.25" customHeight="1">
      <c r="A229" s="248" t="s">
        <v>180</v>
      </c>
      <c r="B229" s="43" t="s">
        <v>764</v>
      </c>
      <c r="C229" s="148" t="s">
        <v>279</v>
      </c>
      <c r="D229" s="140" t="s">
        <v>647</v>
      </c>
      <c r="E229" s="149" t="s">
        <v>485</v>
      </c>
      <c r="F229" s="141">
        <v>12.66</v>
      </c>
      <c r="G229" s="325" t="s">
        <v>747</v>
      </c>
      <c r="H229" s="326"/>
      <c r="I229" s="66"/>
      <c r="J229" s="64"/>
      <c r="K229" s="64"/>
    </row>
    <row r="230" spans="1:11" ht="31.5" customHeight="1">
      <c r="A230" s="248" t="s">
        <v>191</v>
      </c>
      <c r="B230" s="43" t="s">
        <v>764</v>
      </c>
      <c r="C230" s="148" t="s">
        <v>323</v>
      </c>
      <c r="D230" s="266" t="s">
        <v>648</v>
      </c>
      <c r="E230" s="149" t="s">
        <v>485</v>
      </c>
      <c r="F230" s="141">
        <v>13.8</v>
      </c>
      <c r="G230" s="325" t="s">
        <v>748</v>
      </c>
      <c r="H230" s="326"/>
      <c r="I230" s="66"/>
      <c r="J230" s="64"/>
      <c r="K230" s="64"/>
    </row>
    <row r="231" spans="1:11" ht="30" customHeight="1">
      <c r="A231" s="248" t="s">
        <v>221</v>
      </c>
      <c r="B231" s="43" t="s">
        <v>764</v>
      </c>
      <c r="C231" s="148" t="s">
        <v>649</v>
      </c>
      <c r="D231" s="140" t="s">
        <v>650</v>
      </c>
      <c r="E231" s="149" t="s">
        <v>485</v>
      </c>
      <c r="F231" s="141">
        <v>27.6</v>
      </c>
      <c r="G231" s="325" t="s">
        <v>749</v>
      </c>
      <c r="H231" s="326"/>
      <c r="I231" s="66"/>
      <c r="J231" s="64"/>
      <c r="K231" s="64"/>
    </row>
    <row r="232" spans="1:11" ht="30" customHeight="1">
      <c r="A232" s="248" t="s">
        <v>654</v>
      </c>
      <c r="B232" s="43" t="s">
        <v>764</v>
      </c>
      <c r="C232" s="148" t="s">
        <v>651</v>
      </c>
      <c r="D232" s="140" t="s">
        <v>652</v>
      </c>
      <c r="E232" s="149" t="s">
        <v>485</v>
      </c>
      <c r="F232" s="141">
        <v>27.6</v>
      </c>
      <c r="G232" s="325" t="s">
        <v>749</v>
      </c>
      <c r="H232" s="326"/>
      <c r="I232" s="66"/>
      <c r="J232" s="64"/>
      <c r="K232" s="64"/>
    </row>
    <row r="233" spans="1:11" ht="33" customHeight="1">
      <c r="A233" s="248" t="s">
        <v>655</v>
      </c>
      <c r="B233" s="43" t="s">
        <v>764</v>
      </c>
      <c r="C233" s="148" t="s">
        <v>132</v>
      </c>
      <c r="D233" s="140" t="s">
        <v>653</v>
      </c>
      <c r="E233" s="149" t="s">
        <v>485</v>
      </c>
      <c r="F233" s="141">
        <v>27.6</v>
      </c>
      <c r="G233" s="325" t="s">
        <v>749</v>
      </c>
      <c r="H233" s="326"/>
      <c r="I233" s="66"/>
      <c r="J233" s="64"/>
      <c r="K233" s="64"/>
    </row>
    <row r="234" spans="1:11" ht="28.5">
      <c r="A234" s="248" t="s">
        <v>656</v>
      </c>
      <c r="B234" s="43" t="s">
        <v>764</v>
      </c>
      <c r="C234" s="148" t="s">
        <v>528</v>
      </c>
      <c r="D234" s="140" t="s">
        <v>526</v>
      </c>
      <c r="E234" s="149" t="s">
        <v>519</v>
      </c>
      <c r="F234" s="141">
        <v>5</v>
      </c>
      <c r="G234" s="325" t="s">
        <v>560</v>
      </c>
      <c r="H234" s="326" t="s">
        <v>560</v>
      </c>
      <c r="I234" s="64"/>
      <c r="J234" s="67"/>
      <c r="K234" s="64"/>
    </row>
    <row r="235" spans="1:11">
      <c r="A235" s="138"/>
      <c r="B235" s="138"/>
      <c r="C235" s="138"/>
      <c r="D235" s="29"/>
      <c r="E235" s="2"/>
      <c r="F235" s="2"/>
      <c r="G235" s="327"/>
      <c r="H235" s="328"/>
      <c r="I235" s="65"/>
      <c r="J235" s="65"/>
      <c r="K235" s="64"/>
    </row>
    <row r="236" spans="1:11">
      <c r="A236" s="10">
        <v>7</v>
      </c>
      <c r="B236" s="13"/>
      <c r="C236" s="13"/>
      <c r="D236" s="7" t="s">
        <v>532</v>
      </c>
      <c r="E236" s="13"/>
      <c r="F236" s="13"/>
      <c r="G236" s="308"/>
      <c r="H236" s="309"/>
      <c r="I236" s="64"/>
      <c r="J236" s="64"/>
      <c r="K236" s="64"/>
    </row>
    <row r="237" spans="1:11" ht="28.5">
      <c r="A237" s="2" t="s">
        <v>19</v>
      </c>
      <c r="B237" s="146" t="s">
        <v>523</v>
      </c>
      <c r="C237" s="147" t="s">
        <v>531</v>
      </c>
      <c r="D237" s="150" t="s">
        <v>530</v>
      </c>
      <c r="E237" s="151" t="s">
        <v>519</v>
      </c>
      <c r="F237" s="152">
        <v>1</v>
      </c>
      <c r="G237" s="327" t="s">
        <v>777</v>
      </c>
      <c r="H237" s="328"/>
      <c r="I237" s="64"/>
      <c r="J237" s="64"/>
      <c r="K237" s="64"/>
    </row>
    <row r="238" spans="1:11">
      <c r="A238" s="2"/>
      <c r="B238" s="2"/>
      <c r="C238" s="2"/>
      <c r="D238" s="29"/>
      <c r="E238" s="2"/>
      <c r="F238" s="2"/>
      <c r="G238" s="327"/>
      <c r="H238" s="328"/>
      <c r="I238" s="65"/>
      <c r="J238" s="64"/>
      <c r="K238" s="64"/>
    </row>
    <row r="239" spans="1:11">
      <c r="A239" s="10">
        <v>8</v>
      </c>
      <c r="B239" s="13"/>
      <c r="C239" s="13"/>
      <c r="D239" s="7" t="s">
        <v>534</v>
      </c>
      <c r="E239" s="13"/>
      <c r="F239" s="13"/>
      <c r="G239" s="308"/>
      <c r="H239" s="309"/>
      <c r="I239" s="65"/>
      <c r="J239" s="64"/>
      <c r="K239" s="64"/>
    </row>
    <row r="240" spans="1:11" ht="28.5">
      <c r="A240" s="2" t="s">
        <v>21</v>
      </c>
      <c r="B240" s="146" t="s">
        <v>523</v>
      </c>
      <c r="C240" s="147" t="s">
        <v>536</v>
      </c>
      <c r="D240" s="150" t="s">
        <v>535</v>
      </c>
      <c r="E240" s="151" t="s">
        <v>519</v>
      </c>
      <c r="F240" s="152">
        <v>3</v>
      </c>
      <c r="G240" s="327" t="s">
        <v>779</v>
      </c>
      <c r="H240" s="328"/>
      <c r="I240" s="65"/>
      <c r="J240" s="64"/>
      <c r="K240" s="64"/>
    </row>
    <row r="241" spans="1:11">
      <c r="A241" s="2"/>
      <c r="B241" s="2"/>
      <c r="C241" s="2"/>
      <c r="D241" s="29"/>
      <c r="E241" s="2"/>
      <c r="F241" s="2"/>
      <c r="G241" s="327"/>
      <c r="H241" s="328"/>
      <c r="I241" s="65"/>
      <c r="J241" s="64"/>
      <c r="K241" s="64"/>
    </row>
    <row r="242" spans="1:11">
      <c r="A242" s="10">
        <v>9</v>
      </c>
      <c r="B242" s="13"/>
      <c r="C242" s="13"/>
      <c r="D242" s="7" t="s">
        <v>538</v>
      </c>
      <c r="E242" s="13"/>
      <c r="F242" s="13"/>
      <c r="G242" s="308"/>
      <c r="H242" s="309"/>
      <c r="I242" s="64"/>
      <c r="J242" s="64"/>
      <c r="K242" s="64"/>
    </row>
    <row r="243" spans="1:11">
      <c r="A243" s="2" t="s">
        <v>22</v>
      </c>
      <c r="B243" s="146" t="s">
        <v>523</v>
      </c>
      <c r="C243" s="147" t="s">
        <v>540</v>
      </c>
      <c r="D243" s="150" t="s">
        <v>539</v>
      </c>
      <c r="E243" s="151" t="s">
        <v>519</v>
      </c>
      <c r="F243" s="152">
        <v>1</v>
      </c>
      <c r="G243" s="327" t="s">
        <v>780</v>
      </c>
      <c r="H243" s="328"/>
      <c r="I243" s="65"/>
      <c r="J243" s="64"/>
      <c r="K243" s="64"/>
    </row>
    <row r="244" spans="1:11">
      <c r="A244" s="2"/>
      <c r="B244" s="2"/>
      <c r="C244" s="2"/>
      <c r="D244" s="29"/>
      <c r="E244" s="2"/>
      <c r="F244" s="2"/>
      <c r="G244" s="327"/>
      <c r="H244" s="328"/>
      <c r="I244" s="64"/>
      <c r="J244" s="64"/>
      <c r="K244" s="64"/>
    </row>
    <row r="245" spans="1:11">
      <c r="A245" s="10">
        <v>10</v>
      </c>
      <c r="B245" s="13"/>
      <c r="C245" s="13"/>
      <c r="D245" s="7" t="s">
        <v>542</v>
      </c>
      <c r="E245" s="13"/>
      <c r="F245" s="13"/>
      <c r="G245" s="308"/>
      <c r="H245" s="309"/>
      <c r="I245" s="64"/>
      <c r="J245" s="64"/>
      <c r="K245" s="64"/>
    </row>
    <row r="246" spans="1:11" ht="28.5">
      <c r="A246" s="2" t="s">
        <v>293</v>
      </c>
      <c r="B246" s="146" t="s">
        <v>523</v>
      </c>
      <c r="C246" s="147" t="s">
        <v>544</v>
      </c>
      <c r="D246" s="150" t="s">
        <v>543</v>
      </c>
      <c r="E246" s="151" t="s">
        <v>519</v>
      </c>
      <c r="F246" s="152">
        <v>1</v>
      </c>
      <c r="G246" s="327" t="s">
        <v>778</v>
      </c>
      <c r="H246" s="328"/>
    </row>
    <row r="248" spans="1:11">
      <c r="A248" t="s">
        <v>769</v>
      </c>
    </row>
    <row r="250" spans="1:11">
      <c r="D250" s="64"/>
    </row>
    <row r="251" spans="1:11">
      <c r="D251" s="159"/>
      <c r="E251" s="293"/>
      <c r="F251" s="293"/>
      <c r="G251" s="293"/>
      <c r="H251" s="293"/>
    </row>
    <row r="252" spans="1:11" ht="15.75">
      <c r="D252" s="264" t="s">
        <v>758</v>
      </c>
      <c r="E252" s="307" t="s">
        <v>37</v>
      </c>
      <c r="F252" s="307"/>
      <c r="G252" s="307"/>
      <c r="H252" s="307"/>
    </row>
    <row r="253" spans="1:11" ht="15.75">
      <c r="D253" s="267" t="s">
        <v>773</v>
      </c>
      <c r="E253" s="314" t="s">
        <v>38</v>
      </c>
      <c r="F253" s="314"/>
      <c r="G253" s="314"/>
      <c r="H253" s="314"/>
    </row>
    <row r="254" spans="1:11" ht="15.75">
      <c r="D254" s="264" t="s">
        <v>772</v>
      </c>
      <c r="E254" s="307" t="s">
        <v>561</v>
      </c>
      <c r="F254" s="307"/>
      <c r="G254" s="307"/>
      <c r="H254" s="307"/>
    </row>
    <row r="424" spans="1:8">
      <c r="A424" s="1"/>
      <c r="B424" s="1"/>
      <c r="C424" s="1"/>
      <c r="D424" s="1"/>
      <c r="E424" s="1"/>
      <c r="F424" s="1"/>
      <c r="G424" s="1"/>
      <c r="H424" s="1"/>
    </row>
    <row r="425" spans="1:8">
      <c r="A425" s="1"/>
      <c r="B425" s="1"/>
      <c r="C425" s="1"/>
      <c r="D425" s="1"/>
      <c r="E425" s="1"/>
      <c r="F425" s="1"/>
      <c r="G425" s="1"/>
      <c r="H425" s="1"/>
    </row>
    <row r="426" spans="1:8">
      <c r="A426" s="1"/>
      <c r="B426" s="1"/>
      <c r="C426" s="1"/>
      <c r="D426" s="1"/>
      <c r="E426" s="1"/>
      <c r="F426" s="1"/>
      <c r="G426" s="1"/>
      <c r="H426" s="1"/>
    </row>
    <row r="427" spans="1:8">
      <c r="A427" s="1"/>
      <c r="B427" s="1"/>
      <c r="C427" s="1"/>
      <c r="D427" s="1"/>
      <c r="E427" s="1"/>
      <c r="F427" s="1"/>
      <c r="G427" s="1"/>
      <c r="H427" s="1"/>
    </row>
    <row r="428" spans="1:8">
      <c r="A428" s="1"/>
      <c r="B428" s="1"/>
      <c r="C428" s="1"/>
      <c r="D428" s="1"/>
      <c r="E428" s="1"/>
      <c r="F428" s="1"/>
      <c r="G428" s="1"/>
      <c r="H428" s="1"/>
    </row>
    <row r="429" spans="1:8">
      <c r="A429" s="1"/>
      <c r="B429" s="1"/>
      <c r="C429" s="1"/>
      <c r="D429" s="1"/>
      <c r="E429" s="1"/>
      <c r="F429" s="1"/>
      <c r="G429" s="1"/>
      <c r="H429" s="1"/>
    </row>
    <row r="430" spans="1:8">
      <c r="A430" s="1"/>
      <c r="B430" s="1"/>
      <c r="C430" s="1"/>
      <c r="D430" s="1"/>
      <c r="E430" s="1"/>
      <c r="F430" s="1"/>
      <c r="G430" s="1"/>
      <c r="H430" s="1"/>
    </row>
    <row r="431" spans="1:8">
      <c r="A431" s="1"/>
      <c r="B431" s="1"/>
      <c r="C431" s="1"/>
      <c r="D431" s="1"/>
      <c r="E431" s="1"/>
      <c r="F431" s="1"/>
      <c r="G431" s="1"/>
      <c r="H431" s="1"/>
    </row>
    <row r="432" spans="1:8">
      <c r="A432" s="1"/>
      <c r="B432" s="1"/>
      <c r="C432" s="1"/>
      <c r="D432" s="1"/>
      <c r="E432" s="1"/>
      <c r="F432" s="1"/>
      <c r="G432" s="1"/>
      <c r="H432" s="1"/>
    </row>
    <row r="433" spans="1:8">
      <c r="A433" s="1"/>
      <c r="B433" s="1"/>
      <c r="C433" s="1"/>
      <c r="D433" s="1"/>
      <c r="E433" s="1"/>
      <c r="F433" s="1"/>
      <c r="G433" s="1"/>
      <c r="H433" s="1"/>
    </row>
    <row r="434" spans="1:8">
      <c r="A434" s="1"/>
      <c r="B434" s="1"/>
      <c r="C434" s="1"/>
      <c r="D434" s="1"/>
      <c r="E434" s="1"/>
      <c r="F434" s="1"/>
      <c r="G434" s="1"/>
      <c r="H434" s="1"/>
    </row>
    <row r="435" spans="1:8">
      <c r="A435" s="1"/>
      <c r="B435" s="1"/>
      <c r="C435" s="1"/>
      <c r="D435" s="1"/>
      <c r="E435" s="1"/>
      <c r="F435" s="1"/>
      <c r="G435" s="1"/>
      <c r="H435" s="1"/>
    </row>
    <row r="436" spans="1:8">
      <c r="A436" s="1"/>
      <c r="B436" s="1"/>
      <c r="C436" s="1"/>
      <c r="D436" s="1"/>
      <c r="E436" s="1"/>
      <c r="F436" s="1"/>
      <c r="G436" s="1"/>
      <c r="H436" s="1"/>
    </row>
    <row r="437" spans="1:8">
      <c r="A437" s="1"/>
      <c r="B437" s="1"/>
      <c r="C437" s="1"/>
      <c r="D437" s="1"/>
      <c r="E437" s="1"/>
      <c r="F437" s="1"/>
      <c r="G437" s="1"/>
      <c r="H437" s="1"/>
    </row>
    <row r="438" spans="1:8">
      <c r="A438" s="1"/>
      <c r="B438" s="1"/>
      <c r="C438" s="1"/>
      <c r="D438" s="1"/>
      <c r="E438" s="1"/>
      <c r="F438" s="1"/>
      <c r="G438" s="1"/>
      <c r="H438" s="1"/>
    </row>
    <row r="439" spans="1:8">
      <c r="A439" s="1"/>
      <c r="B439" s="1"/>
      <c r="C439" s="1"/>
      <c r="D439" s="1"/>
      <c r="E439" s="1"/>
      <c r="F439" s="1"/>
      <c r="G439" s="1"/>
      <c r="H439" s="1"/>
    </row>
    <row r="440" spans="1:8">
      <c r="A440" s="1"/>
      <c r="B440" s="1"/>
      <c r="C440" s="1"/>
      <c r="D440" s="1"/>
      <c r="E440" s="1"/>
      <c r="F440" s="1"/>
      <c r="G440" s="1"/>
      <c r="H440" s="1"/>
    </row>
    <row r="441" spans="1:8">
      <c r="A441" s="1"/>
      <c r="B441" s="1"/>
      <c r="C441" s="1"/>
      <c r="D441" s="1"/>
      <c r="E441" s="1"/>
      <c r="F441" s="1"/>
      <c r="G441" s="1"/>
      <c r="H441" s="1"/>
    </row>
    <row r="442" spans="1:8">
      <c r="A442" s="1"/>
      <c r="B442" s="1"/>
      <c r="C442" s="1"/>
      <c r="D442" s="1"/>
      <c r="E442" s="1"/>
      <c r="F442" s="1"/>
      <c r="G442" s="1"/>
      <c r="H442" s="1"/>
    </row>
    <row r="443" spans="1:8">
      <c r="A443" s="1"/>
      <c r="B443" s="1"/>
      <c r="C443" s="1"/>
      <c r="D443" s="1"/>
      <c r="E443" s="1"/>
      <c r="F443" s="1"/>
      <c r="G443" s="1"/>
      <c r="H443" s="1"/>
    </row>
    <row r="444" spans="1:8">
      <c r="A444" s="1"/>
      <c r="B444" s="1"/>
      <c r="C444" s="1"/>
      <c r="D444" s="1"/>
      <c r="E444" s="1"/>
      <c r="F444" s="1"/>
      <c r="G444" s="1"/>
      <c r="H444" s="1"/>
    </row>
    <row r="445" spans="1:8">
      <c r="A445" s="1"/>
      <c r="B445" s="1"/>
      <c r="C445" s="1"/>
      <c r="D445" s="1"/>
      <c r="E445" s="1"/>
      <c r="F445" s="1"/>
      <c r="G445" s="1"/>
      <c r="H445" s="1"/>
    </row>
    <row r="446" spans="1:8">
      <c r="A446" s="1"/>
      <c r="B446" s="1"/>
      <c r="C446" s="1"/>
      <c r="D446" s="1"/>
      <c r="E446" s="1"/>
      <c r="F446" s="1"/>
      <c r="G446" s="1"/>
      <c r="H446" s="1"/>
    </row>
    <row r="447" spans="1:8">
      <c r="A447" s="1"/>
      <c r="B447" s="1"/>
      <c r="C447" s="1"/>
      <c r="D447" s="1"/>
      <c r="E447" s="1"/>
      <c r="F447" s="1"/>
      <c r="G447" s="1"/>
      <c r="H447" s="1"/>
    </row>
    <row r="448" spans="1:8">
      <c r="A448" s="1"/>
      <c r="B448" s="1"/>
      <c r="C448" s="1"/>
      <c r="D448" s="1"/>
      <c r="E448" s="1"/>
      <c r="F448" s="1"/>
      <c r="G448" s="1"/>
      <c r="H448" s="1"/>
    </row>
    <row r="449" spans="1:8">
      <c r="A449" s="1"/>
      <c r="B449" s="1"/>
      <c r="C449" s="1"/>
      <c r="D449" s="1"/>
      <c r="E449" s="1"/>
      <c r="F449" s="1"/>
      <c r="G449" s="1"/>
      <c r="H449" s="1"/>
    </row>
    <row r="450" spans="1:8">
      <c r="A450" s="1"/>
      <c r="B450" s="1"/>
      <c r="C450" s="1"/>
      <c r="D450" s="1"/>
      <c r="E450" s="1"/>
      <c r="F450" s="1"/>
      <c r="G450" s="1"/>
      <c r="H450" s="1"/>
    </row>
    <row r="451" spans="1:8">
      <c r="A451" s="1"/>
      <c r="B451" s="1"/>
      <c r="C451" s="1"/>
      <c r="D451" s="1"/>
      <c r="E451" s="1"/>
      <c r="F451" s="1"/>
      <c r="G451" s="1"/>
      <c r="H451" s="1"/>
    </row>
    <row r="452" spans="1:8">
      <c r="A452" s="1"/>
      <c r="B452" s="1"/>
      <c r="C452" s="1"/>
      <c r="D452" s="1"/>
      <c r="E452" s="1"/>
      <c r="F452" s="1"/>
      <c r="G452" s="1"/>
      <c r="H452" s="1"/>
    </row>
    <row r="453" spans="1:8">
      <c r="A453" s="1"/>
      <c r="B453" s="1"/>
      <c r="C453" s="1"/>
      <c r="D453" s="1"/>
      <c r="E453" s="1"/>
      <c r="F453" s="1"/>
      <c r="G453" s="1"/>
      <c r="H453" s="1"/>
    </row>
    <row r="454" spans="1:8">
      <c r="A454" s="1"/>
      <c r="B454" s="1"/>
      <c r="C454" s="1"/>
      <c r="D454" s="1"/>
      <c r="E454" s="1"/>
      <c r="F454" s="1"/>
      <c r="G454" s="1"/>
      <c r="H454" s="1"/>
    </row>
    <row r="455" spans="1:8">
      <c r="A455" s="1"/>
      <c r="B455" s="1"/>
      <c r="C455" s="1"/>
      <c r="D455" s="1"/>
      <c r="E455" s="1"/>
      <c r="F455" s="1"/>
      <c r="G455" s="1"/>
      <c r="H455" s="1"/>
    </row>
    <row r="456" spans="1:8">
      <c r="A456" s="1"/>
      <c r="B456" s="1"/>
      <c r="C456" s="1"/>
      <c r="D456" s="1"/>
      <c r="E456" s="1"/>
      <c r="F456" s="1"/>
      <c r="G456" s="1"/>
      <c r="H456" s="1"/>
    </row>
    <row r="457" spans="1:8">
      <c r="A457" s="1"/>
      <c r="B457" s="1"/>
      <c r="C457" s="1"/>
      <c r="D457" s="1"/>
      <c r="E457" s="1"/>
      <c r="F457" s="1"/>
      <c r="G457" s="1"/>
      <c r="H457" s="1"/>
    </row>
    <row r="458" spans="1:8">
      <c r="A458" s="1"/>
      <c r="B458" s="1"/>
      <c r="C458" s="1"/>
      <c r="D458" s="1"/>
      <c r="E458" s="1"/>
      <c r="F458" s="1"/>
      <c r="G458" s="1"/>
      <c r="H458" s="1"/>
    </row>
    <row r="459" spans="1:8">
      <c r="A459" s="1"/>
      <c r="B459" s="1"/>
      <c r="C459" s="1"/>
      <c r="D459" s="1"/>
      <c r="E459" s="1"/>
      <c r="F459" s="1"/>
      <c r="G459" s="1"/>
      <c r="H459" s="1"/>
    </row>
    <row r="460" spans="1:8">
      <c r="A460" s="1"/>
      <c r="B460" s="1"/>
      <c r="C460" s="1"/>
      <c r="D460" s="1"/>
      <c r="E460" s="1"/>
      <c r="F460" s="1"/>
      <c r="G460" s="1"/>
      <c r="H460" s="1"/>
    </row>
    <row r="461" spans="1:8">
      <c r="A461" s="1"/>
      <c r="B461" s="1"/>
      <c r="C461" s="1"/>
      <c r="D461" s="1"/>
      <c r="E461" s="1"/>
      <c r="F461" s="1"/>
      <c r="G461" s="1"/>
      <c r="H461" s="1"/>
    </row>
    <row r="462" spans="1:8">
      <c r="A462" s="1"/>
      <c r="B462" s="1"/>
      <c r="C462" s="1"/>
      <c r="D462" s="1"/>
      <c r="E462" s="1"/>
      <c r="F462" s="1"/>
      <c r="G462" s="1"/>
      <c r="H462" s="1"/>
    </row>
    <row r="463" spans="1:8">
      <c r="A463" s="1"/>
      <c r="B463" s="1"/>
      <c r="C463" s="1"/>
      <c r="D463" s="1"/>
      <c r="E463" s="1"/>
      <c r="F463" s="1"/>
      <c r="G463" s="1"/>
      <c r="H463" s="1"/>
    </row>
    <row r="464" spans="1:8">
      <c r="A464" s="1"/>
      <c r="B464" s="1"/>
      <c r="C464" s="1"/>
      <c r="D464" s="1"/>
      <c r="E464" s="1"/>
      <c r="F464" s="1"/>
      <c r="G464" s="1"/>
      <c r="H464" s="1"/>
    </row>
    <row r="465" spans="1:8">
      <c r="A465" s="1"/>
      <c r="B465" s="1"/>
      <c r="C465" s="1"/>
      <c r="D465" s="1"/>
      <c r="E465" s="1"/>
      <c r="F465" s="1"/>
      <c r="G465" s="1"/>
      <c r="H465" s="1"/>
    </row>
    <row r="466" spans="1:8">
      <c r="A466" s="1"/>
      <c r="B466" s="1"/>
      <c r="C466" s="1"/>
      <c r="D466" s="1"/>
      <c r="E466" s="1"/>
      <c r="F466" s="1"/>
      <c r="G466" s="1"/>
      <c r="H466" s="1"/>
    </row>
    <row r="467" spans="1:8">
      <c r="A467" s="1"/>
      <c r="B467" s="1"/>
      <c r="C467" s="1"/>
      <c r="D467" s="1"/>
      <c r="E467" s="1"/>
      <c r="F467" s="1"/>
      <c r="G467" s="1"/>
      <c r="H467" s="1"/>
    </row>
    <row r="468" spans="1:8">
      <c r="A468" s="1"/>
      <c r="B468" s="1"/>
      <c r="C468" s="1"/>
      <c r="D468" s="1"/>
      <c r="E468" s="1"/>
      <c r="F468" s="1"/>
      <c r="G468" s="1"/>
      <c r="H468" s="1"/>
    </row>
    <row r="469" spans="1:8">
      <c r="A469" s="1"/>
      <c r="B469" s="1"/>
      <c r="C469" s="1"/>
      <c r="D469" s="1"/>
      <c r="E469" s="1"/>
      <c r="F469" s="1"/>
      <c r="G469" s="1"/>
      <c r="H469" s="1"/>
    </row>
    <row r="470" spans="1:8">
      <c r="A470" s="1"/>
      <c r="B470" s="1"/>
      <c r="C470" s="1"/>
      <c r="D470" s="1"/>
      <c r="E470" s="1"/>
      <c r="F470" s="1"/>
      <c r="G470" s="1"/>
      <c r="H470" s="1"/>
    </row>
    <row r="471" spans="1:8">
      <c r="A471" s="1"/>
      <c r="B471" s="1"/>
      <c r="C471" s="1"/>
      <c r="D471" s="1"/>
      <c r="E471" s="1"/>
      <c r="F471" s="1"/>
      <c r="G471" s="1"/>
      <c r="H471" s="1"/>
    </row>
    <row r="472" spans="1:8">
      <c r="A472" s="1"/>
      <c r="B472" s="1"/>
      <c r="C472" s="1"/>
      <c r="D472" s="1"/>
      <c r="E472" s="1"/>
      <c r="F472" s="1"/>
      <c r="G472" s="1"/>
      <c r="H472" s="1"/>
    </row>
    <row r="473" spans="1:8">
      <c r="A473" s="1"/>
      <c r="B473" s="1"/>
      <c r="C473" s="1"/>
      <c r="D473" s="1"/>
      <c r="E473" s="1"/>
      <c r="F473" s="1"/>
      <c r="G473" s="1"/>
      <c r="H473" s="1"/>
    </row>
    <row r="474" spans="1:8">
      <c r="A474" s="1"/>
      <c r="B474" s="1"/>
      <c r="C474" s="1"/>
      <c r="D474" s="1"/>
      <c r="E474" s="1"/>
      <c r="F474" s="1"/>
      <c r="G474" s="1"/>
      <c r="H474" s="1"/>
    </row>
    <row r="475" spans="1:8">
      <c r="A475" s="1"/>
      <c r="B475" s="1"/>
      <c r="C475" s="1"/>
      <c r="D475" s="1"/>
      <c r="E475" s="1"/>
      <c r="F475" s="1"/>
      <c r="G475" s="1"/>
      <c r="H475" s="1"/>
    </row>
    <row r="476" spans="1:8">
      <c r="A476" s="1"/>
      <c r="B476" s="1"/>
      <c r="C476" s="1"/>
      <c r="D476" s="1"/>
      <c r="E476" s="1"/>
      <c r="F476" s="1"/>
      <c r="G476" s="1"/>
      <c r="H476" s="1"/>
    </row>
    <row r="477" spans="1:8">
      <c r="A477" s="1"/>
      <c r="B477" s="1"/>
      <c r="C477" s="1"/>
      <c r="D477" s="1"/>
      <c r="E477" s="1"/>
      <c r="F477" s="1"/>
      <c r="G477" s="1"/>
      <c r="H477" s="1"/>
    </row>
    <row r="478" spans="1:8">
      <c r="A478" s="1"/>
      <c r="B478" s="1"/>
      <c r="C478" s="1"/>
      <c r="D478" s="1"/>
      <c r="E478" s="1"/>
      <c r="F478" s="1"/>
      <c r="G478" s="1"/>
      <c r="H478" s="1"/>
    </row>
    <row r="479" spans="1:8">
      <c r="A479" s="1"/>
      <c r="B479" s="1"/>
      <c r="C479" s="1"/>
      <c r="D479" s="1"/>
      <c r="E479" s="1"/>
      <c r="F479" s="1"/>
      <c r="G479" s="1"/>
      <c r="H479" s="1"/>
    </row>
    <row r="480" spans="1:8">
      <c r="A480" s="1"/>
      <c r="B480" s="1"/>
      <c r="C480" s="1"/>
      <c r="D480" s="1"/>
      <c r="E480" s="1"/>
      <c r="F480" s="1"/>
      <c r="G480" s="1"/>
      <c r="H480" s="1"/>
    </row>
    <row r="481" spans="1:8">
      <c r="A481" s="1"/>
      <c r="B481" s="1"/>
      <c r="C481" s="1"/>
      <c r="D481" s="1"/>
      <c r="E481" s="1"/>
      <c r="F481" s="1"/>
      <c r="G481" s="1"/>
      <c r="H481" s="1"/>
    </row>
    <row r="482" spans="1:8">
      <c r="A482" s="1"/>
      <c r="B482" s="1"/>
      <c r="C482" s="1"/>
      <c r="D482" s="1"/>
      <c r="E482" s="1"/>
      <c r="F482" s="1"/>
      <c r="G482" s="1"/>
      <c r="H482" s="1"/>
    </row>
    <row r="483" spans="1:8">
      <c r="A483" s="1"/>
      <c r="B483" s="1"/>
      <c r="C483" s="1"/>
      <c r="D483" s="1"/>
      <c r="E483" s="1"/>
      <c r="F483" s="1"/>
      <c r="G483" s="1"/>
      <c r="H483" s="1"/>
    </row>
    <row r="484" spans="1:8">
      <c r="A484" s="1"/>
      <c r="B484" s="1"/>
      <c r="C484" s="1"/>
      <c r="D484" s="1"/>
      <c r="E484" s="1"/>
      <c r="F484" s="1"/>
      <c r="G484" s="1"/>
      <c r="H484" s="1"/>
    </row>
    <row r="485" spans="1:8">
      <c r="A485" s="1"/>
      <c r="B485" s="1"/>
      <c r="C485" s="1"/>
      <c r="D485" s="1"/>
      <c r="E485" s="1"/>
      <c r="F485" s="1"/>
      <c r="G485" s="1"/>
      <c r="H485" s="1"/>
    </row>
    <row r="486" spans="1:8">
      <c r="A486" s="1"/>
      <c r="B486" s="1"/>
      <c r="C486" s="1"/>
      <c r="D486" s="1"/>
      <c r="E486" s="1"/>
      <c r="F486" s="1"/>
      <c r="G486" s="1"/>
      <c r="H486" s="1"/>
    </row>
    <row r="487" spans="1:8">
      <c r="A487" s="1"/>
      <c r="B487" s="1"/>
      <c r="C487" s="1"/>
      <c r="D487" s="1"/>
      <c r="E487" s="1"/>
      <c r="F487" s="1"/>
      <c r="G487" s="1"/>
      <c r="H487" s="1"/>
    </row>
    <row r="488" spans="1:8">
      <c r="A488" s="1"/>
      <c r="B488" s="1"/>
      <c r="C488" s="1"/>
      <c r="D488" s="1"/>
      <c r="E488" s="1"/>
      <c r="F488" s="1"/>
      <c r="G488" s="1"/>
      <c r="H488" s="1"/>
    </row>
    <row r="489" spans="1:8">
      <c r="A489" s="1"/>
      <c r="B489" s="1"/>
      <c r="C489" s="1"/>
      <c r="D489" s="1"/>
      <c r="E489" s="1"/>
      <c r="F489" s="1"/>
      <c r="G489" s="1"/>
      <c r="H489" s="1"/>
    </row>
    <row r="490" spans="1:8">
      <c r="A490" s="1"/>
      <c r="B490" s="1"/>
      <c r="C490" s="1"/>
      <c r="D490" s="1"/>
      <c r="E490" s="1"/>
      <c r="F490" s="1"/>
      <c r="G490" s="1"/>
      <c r="H490" s="1"/>
    </row>
    <row r="491" spans="1:8">
      <c r="A491" s="1"/>
      <c r="B491" s="1"/>
      <c r="C491" s="1"/>
      <c r="D491" s="1"/>
      <c r="E491" s="1"/>
      <c r="F491" s="1"/>
      <c r="G491" s="1"/>
      <c r="H491" s="1"/>
    </row>
    <row r="492" spans="1:8">
      <c r="A492" s="1"/>
      <c r="B492" s="1"/>
      <c r="C492" s="1"/>
      <c r="D492" s="1"/>
      <c r="E492" s="1"/>
      <c r="F492" s="1"/>
      <c r="G492" s="1"/>
      <c r="H492" s="1"/>
    </row>
    <row r="493" spans="1:8">
      <c r="A493" s="1"/>
      <c r="B493" s="1"/>
      <c r="C493" s="1"/>
      <c r="D493" s="1"/>
      <c r="E493" s="1"/>
      <c r="F493" s="1"/>
      <c r="G493" s="1"/>
      <c r="H493" s="1"/>
    </row>
    <row r="494" spans="1:8">
      <c r="A494" s="1"/>
      <c r="B494" s="1"/>
      <c r="C494" s="1"/>
      <c r="D494" s="1"/>
      <c r="E494" s="1"/>
      <c r="F494" s="1"/>
      <c r="G494" s="1"/>
      <c r="H494" s="1"/>
    </row>
    <row r="495" spans="1:8">
      <c r="A495" s="1"/>
      <c r="B495" s="1"/>
      <c r="C495" s="1"/>
      <c r="D495" s="1"/>
      <c r="E495" s="1"/>
      <c r="F495" s="1"/>
      <c r="G495" s="1"/>
      <c r="H495" s="1"/>
    </row>
    <row r="496" spans="1:8">
      <c r="A496" s="1"/>
      <c r="B496" s="1"/>
      <c r="C496" s="1"/>
      <c r="D496" s="1"/>
      <c r="E496" s="1"/>
      <c r="F496" s="1"/>
      <c r="G496" s="1"/>
      <c r="H496" s="1"/>
    </row>
    <row r="497" spans="1:8">
      <c r="A497" s="1"/>
      <c r="B497" s="1"/>
      <c r="C497" s="1"/>
      <c r="D497" s="1"/>
      <c r="E497" s="1"/>
      <c r="F497" s="1"/>
      <c r="G497" s="1"/>
      <c r="H497" s="1"/>
    </row>
    <row r="498" spans="1:8">
      <c r="A498" s="1"/>
      <c r="B498" s="1"/>
      <c r="C498" s="1"/>
      <c r="D498" s="1"/>
      <c r="E498" s="1"/>
      <c r="F498" s="1"/>
      <c r="G498" s="1"/>
      <c r="H498" s="1"/>
    </row>
    <row r="499" spans="1:8">
      <c r="A499" s="1"/>
      <c r="B499" s="1"/>
      <c r="C499" s="1"/>
      <c r="D499" s="1"/>
      <c r="E499" s="1"/>
      <c r="F499" s="1"/>
      <c r="G499" s="1"/>
      <c r="H499" s="1"/>
    </row>
    <row r="500" spans="1:8">
      <c r="A500" s="1"/>
      <c r="B500" s="1"/>
      <c r="C500" s="1"/>
      <c r="D500" s="1"/>
      <c r="E500" s="1"/>
      <c r="F500" s="1"/>
      <c r="G500" s="1"/>
      <c r="H500" s="1"/>
    </row>
    <row r="501" spans="1:8">
      <c r="A501" s="1"/>
      <c r="B501" s="1"/>
      <c r="C501" s="1"/>
      <c r="D501" s="1"/>
      <c r="E501" s="1"/>
      <c r="F501" s="1"/>
      <c r="G501" s="1"/>
      <c r="H501" s="1"/>
    </row>
    <row r="502" spans="1:8">
      <c r="A502" s="1"/>
      <c r="B502" s="1"/>
      <c r="C502" s="1"/>
      <c r="D502" s="1"/>
      <c r="E502" s="1"/>
      <c r="F502" s="1"/>
      <c r="G502" s="1"/>
      <c r="H502" s="1"/>
    </row>
    <row r="503" spans="1:8">
      <c r="A503" s="1"/>
      <c r="B503" s="1"/>
      <c r="C503" s="1"/>
      <c r="D503" s="1"/>
      <c r="E503" s="1"/>
      <c r="F503" s="1"/>
      <c r="G503" s="1"/>
      <c r="H503" s="1"/>
    </row>
    <row r="504" spans="1:8">
      <c r="A504" s="1"/>
      <c r="B504" s="1"/>
      <c r="C504" s="1"/>
      <c r="D504" s="1"/>
      <c r="E504" s="1"/>
      <c r="F504" s="1"/>
      <c r="G504" s="1"/>
      <c r="H504" s="1"/>
    </row>
    <row r="505" spans="1:8">
      <c r="A505" s="1"/>
      <c r="B505" s="1"/>
      <c r="C505" s="1"/>
      <c r="D505" s="1"/>
      <c r="E505" s="1"/>
      <c r="F505" s="1"/>
      <c r="G505" s="1"/>
      <c r="H505" s="1"/>
    </row>
    <row r="506" spans="1:8">
      <c r="A506" s="1"/>
      <c r="B506" s="1"/>
      <c r="C506" s="1"/>
      <c r="D506" s="1"/>
      <c r="E506" s="1"/>
      <c r="F506" s="1"/>
      <c r="G506" s="1"/>
      <c r="H506" s="1"/>
    </row>
    <row r="507" spans="1:8">
      <c r="A507" s="1"/>
      <c r="B507" s="1"/>
      <c r="C507" s="1"/>
      <c r="D507" s="1"/>
      <c r="E507" s="1"/>
      <c r="F507" s="1"/>
      <c r="G507" s="1"/>
      <c r="H507" s="1"/>
    </row>
    <row r="508" spans="1:8">
      <c r="A508" s="1"/>
      <c r="B508" s="1"/>
      <c r="C508" s="1"/>
      <c r="D508" s="1"/>
      <c r="E508" s="1"/>
      <c r="F508" s="1"/>
      <c r="G508" s="1"/>
      <c r="H508" s="1"/>
    </row>
    <row r="509" spans="1:8">
      <c r="A509" s="1"/>
      <c r="B509" s="1"/>
      <c r="C509" s="1"/>
      <c r="D509" s="1"/>
      <c r="E509" s="1"/>
      <c r="F509" s="1"/>
      <c r="G509" s="1"/>
      <c r="H509" s="1"/>
    </row>
    <row r="510" spans="1:8">
      <c r="A510" s="1"/>
      <c r="B510" s="1"/>
      <c r="C510" s="1"/>
      <c r="D510" s="1"/>
      <c r="E510" s="1"/>
      <c r="F510" s="1"/>
      <c r="G510" s="1"/>
      <c r="H510" s="1"/>
    </row>
    <row r="511" spans="1:8">
      <c r="A511" s="1"/>
      <c r="B511" s="1"/>
      <c r="C511" s="1"/>
      <c r="D511" s="1"/>
      <c r="E511" s="1"/>
      <c r="F511" s="1"/>
      <c r="G511" s="1"/>
      <c r="H511" s="1"/>
    </row>
    <row r="512" spans="1:8">
      <c r="A512" s="1"/>
      <c r="B512" s="1"/>
      <c r="C512" s="1"/>
      <c r="D512" s="1"/>
      <c r="E512" s="1"/>
      <c r="F512" s="1"/>
      <c r="G512" s="1"/>
      <c r="H512" s="1"/>
    </row>
    <row r="513" spans="1:8">
      <c r="A513" s="1"/>
      <c r="B513" s="1"/>
      <c r="C513" s="1"/>
      <c r="D513" s="1"/>
      <c r="E513" s="1"/>
      <c r="F513" s="1"/>
      <c r="G513" s="1"/>
      <c r="H513" s="1"/>
    </row>
    <row r="514" spans="1:8">
      <c r="A514" s="1"/>
      <c r="B514" s="1"/>
      <c r="C514" s="1"/>
      <c r="D514" s="1"/>
      <c r="E514" s="1"/>
      <c r="F514" s="1"/>
      <c r="G514" s="1"/>
      <c r="H514" s="1"/>
    </row>
    <row r="515" spans="1:8">
      <c r="A515" s="1"/>
      <c r="B515" s="1"/>
      <c r="C515" s="1"/>
      <c r="D515" s="1"/>
      <c r="E515" s="1"/>
      <c r="F515" s="1"/>
      <c r="G515" s="1"/>
      <c r="H515" s="1"/>
    </row>
    <row r="516" spans="1:8">
      <c r="A516" s="1"/>
      <c r="B516" s="1"/>
      <c r="C516" s="1"/>
      <c r="D516" s="1"/>
      <c r="E516" s="1"/>
      <c r="F516" s="1"/>
      <c r="G516" s="1"/>
      <c r="H516" s="1"/>
    </row>
    <row r="517" spans="1:8">
      <c r="A517" s="1"/>
      <c r="B517" s="1"/>
      <c r="C517" s="1"/>
      <c r="D517" s="1"/>
      <c r="E517" s="1"/>
      <c r="F517" s="1"/>
      <c r="G517" s="1"/>
      <c r="H517" s="1"/>
    </row>
    <row r="518" spans="1:8">
      <c r="A518" s="1"/>
      <c r="B518" s="1"/>
      <c r="C518" s="1"/>
      <c r="D518" s="1"/>
      <c r="E518" s="1"/>
      <c r="F518" s="1"/>
      <c r="G518" s="1"/>
      <c r="H518" s="1"/>
    </row>
    <row r="519" spans="1:8">
      <c r="A519" s="1"/>
      <c r="B519" s="1"/>
      <c r="C519" s="1"/>
      <c r="D519" s="1"/>
      <c r="E519" s="1"/>
      <c r="F519" s="1"/>
      <c r="G519" s="1"/>
      <c r="H519" s="1"/>
    </row>
    <row r="520" spans="1:8">
      <c r="A520" s="1"/>
      <c r="B520" s="1"/>
      <c r="C520" s="1"/>
      <c r="D520" s="1"/>
      <c r="E520" s="1"/>
      <c r="F520" s="1"/>
      <c r="G520" s="1"/>
      <c r="H520" s="1"/>
    </row>
    <row r="521" spans="1:8">
      <c r="A521" s="1"/>
      <c r="B521" s="1"/>
      <c r="C521" s="1"/>
      <c r="D521" s="1"/>
      <c r="E521" s="1"/>
      <c r="F521" s="1"/>
      <c r="G521" s="1"/>
      <c r="H521" s="1"/>
    </row>
    <row r="522" spans="1:8">
      <c r="A522" s="1"/>
      <c r="B522" s="1"/>
      <c r="C522" s="1"/>
      <c r="D522" s="1"/>
      <c r="E522" s="1"/>
      <c r="F522" s="1"/>
      <c r="G522" s="1"/>
      <c r="H522" s="1"/>
    </row>
    <row r="523" spans="1:8">
      <c r="A523" s="1"/>
      <c r="B523" s="1"/>
      <c r="C523" s="1"/>
      <c r="D523" s="1"/>
      <c r="E523" s="1"/>
      <c r="F523" s="1"/>
      <c r="G523" s="1"/>
      <c r="H523" s="1"/>
    </row>
    <row r="524" spans="1:8">
      <c r="A524" s="1"/>
      <c r="B524" s="1"/>
      <c r="C524" s="1"/>
      <c r="D524" s="1"/>
      <c r="E524" s="1"/>
      <c r="F524" s="1"/>
      <c r="G524" s="1"/>
      <c r="H524" s="1"/>
    </row>
    <row r="525" spans="1:8">
      <c r="A525" s="1"/>
      <c r="B525" s="1"/>
      <c r="C525" s="1"/>
      <c r="D525" s="1"/>
      <c r="E525" s="1"/>
      <c r="F525" s="1"/>
      <c r="G525" s="1"/>
      <c r="H525" s="1"/>
    </row>
    <row r="526" spans="1:8">
      <c r="A526" s="1"/>
      <c r="B526" s="1"/>
      <c r="C526" s="1"/>
      <c r="D526" s="1"/>
      <c r="E526" s="1"/>
      <c r="F526" s="1"/>
      <c r="G526" s="1"/>
      <c r="H526" s="1"/>
    </row>
    <row r="527" spans="1:8">
      <c r="A527" s="1"/>
      <c r="B527" s="1"/>
      <c r="C527" s="1"/>
      <c r="D527" s="1"/>
      <c r="E527" s="1"/>
      <c r="F527" s="1"/>
      <c r="G527" s="1"/>
      <c r="H527" s="1"/>
    </row>
    <row r="528" spans="1:8">
      <c r="A528" s="1"/>
      <c r="B528" s="1"/>
      <c r="C528" s="1"/>
      <c r="D528" s="1"/>
      <c r="E528" s="1"/>
      <c r="F528" s="1"/>
      <c r="G528" s="1"/>
      <c r="H528" s="1"/>
    </row>
    <row r="529" spans="1:8">
      <c r="A529" s="1"/>
      <c r="B529" s="1"/>
      <c r="C529" s="1"/>
      <c r="D529" s="1"/>
      <c r="E529" s="1"/>
      <c r="F529" s="1"/>
      <c r="G529" s="1"/>
      <c r="H529" s="1"/>
    </row>
    <row r="530" spans="1:8">
      <c r="A530" s="1"/>
      <c r="B530" s="1"/>
      <c r="C530" s="1"/>
      <c r="D530" s="1"/>
      <c r="E530" s="1"/>
      <c r="F530" s="1"/>
      <c r="G530" s="1"/>
      <c r="H530" s="1"/>
    </row>
    <row r="531" spans="1:8">
      <c r="A531" s="1"/>
      <c r="B531" s="1"/>
      <c r="C531" s="1"/>
      <c r="D531" s="1"/>
      <c r="E531" s="1"/>
      <c r="F531" s="1"/>
      <c r="G531" s="1"/>
      <c r="H531" s="1"/>
    </row>
    <row r="532" spans="1:8">
      <c r="A532" s="1"/>
      <c r="B532" s="1"/>
      <c r="C532" s="1"/>
      <c r="D532" s="1"/>
      <c r="E532" s="1"/>
      <c r="F532" s="1"/>
      <c r="G532" s="1"/>
      <c r="H532" s="1"/>
    </row>
    <row r="533" spans="1:8">
      <c r="A533" s="1"/>
      <c r="B533" s="1"/>
      <c r="C533" s="1"/>
      <c r="D533" s="1"/>
      <c r="E533" s="1"/>
      <c r="F533" s="1"/>
      <c r="G533" s="1"/>
      <c r="H533" s="1"/>
    </row>
    <row r="534" spans="1:8">
      <c r="A534" s="1"/>
      <c r="B534" s="1"/>
      <c r="C534" s="1"/>
      <c r="D534" s="1"/>
      <c r="E534" s="1"/>
      <c r="F534" s="1"/>
      <c r="G534" s="1"/>
      <c r="H534" s="1"/>
    </row>
    <row r="535" spans="1:8">
      <c r="A535" s="1"/>
      <c r="B535" s="1"/>
      <c r="C535" s="1"/>
      <c r="D535" s="1"/>
      <c r="E535" s="1"/>
      <c r="F535" s="1"/>
      <c r="G535" s="1"/>
      <c r="H535" s="1"/>
    </row>
    <row r="536" spans="1:8">
      <c r="A536" s="1"/>
      <c r="B536" s="1"/>
      <c r="C536" s="1"/>
      <c r="D536" s="1"/>
      <c r="E536" s="1"/>
      <c r="F536" s="1"/>
      <c r="G536" s="1"/>
      <c r="H536" s="1"/>
    </row>
    <row r="537" spans="1:8">
      <c r="A537" s="1"/>
      <c r="B537" s="1"/>
      <c r="C537" s="1"/>
      <c r="D537" s="1"/>
      <c r="E537" s="1"/>
      <c r="F537" s="1"/>
      <c r="G537" s="1"/>
      <c r="H537" s="1"/>
    </row>
    <row r="538" spans="1:8">
      <c r="A538" s="1"/>
      <c r="B538" s="1"/>
      <c r="C538" s="1"/>
      <c r="D538" s="1"/>
      <c r="E538" s="1"/>
      <c r="F538" s="1"/>
      <c r="G538" s="1"/>
      <c r="H538" s="1"/>
    </row>
    <row r="539" spans="1:8">
      <c r="A539" s="1"/>
      <c r="B539" s="1"/>
      <c r="C539" s="1"/>
      <c r="D539" s="1"/>
      <c r="E539" s="1"/>
      <c r="F539" s="1"/>
      <c r="G539" s="1"/>
      <c r="H539" s="1"/>
    </row>
    <row r="540" spans="1:8">
      <c r="A540" s="1"/>
      <c r="B540" s="1"/>
      <c r="C540" s="1"/>
      <c r="D540" s="1"/>
      <c r="E540" s="1"/>
      <c r="F540" s="1"/>
      <c r="G540" s="1"/>
      <c r="H540" s="1"/>
    </row>
    <row r="541" spans="1:8">
      <c r="A541" s="1"/>
      <c r="B541" s="1"/>
      <c r="C541" s="1"/>
      <c r="D541" s="1"/>
      <c r="E541" s="1"/>
      <c r="F541" s="1"/>
      <c r="G541" s="1"/>
      <c r="H541" s="1"/>
    </row>
    <row r="542" spans="1:8">
      <c r="A542" s="1"/>
      <c r="B542" s="1"/>
      <c r="C542" s="1"/>
      <c r="D542" s="1"/>
      <c r="E542" s="1"/>
      <c r="F542" s="1"/>
      <c r="G542" s="1"/>
      <c r="H542" s="1"/>
    </row>
    <row r="543" spans="1:8">
      <c r="A543" s="1"/>
      <c r="B543" s="1"/>
      <c r="C543" s="1"/>
      <c r="D543" s="1"/>
      <c r="E543" s="1"/>
      <c r="F543" s="1"/>
      <c r="G543" s="1"/>
      <c r="H543" s="1"/>
    </row>
    <row r="544" spans="1:8">
      <c r="A544" s="1"/>
      <c r="B544" s="1"/>
      <c r="C544" s="1"/>
      <c r="D544" s="1"/>
      <c r="E544" s="1"/>
      <c r="F544" s="1"/>
      <c r="G544" s="1"/>
      <c r="H544" s="1"/>
    </row>
    <row r="545" spans="1:8">
      <c r="A545" s="1"/>
      <c r="B545" s="1"/>
      <c r="C545" s="1"/>
      <c r="D545" s="1"/>
      <c r="E545" s="1"/>
      <c r="F545" s="1"/>
      <c r="G545" s="1"/>
      <c r="H545" s="1"/>
    </row>
    <row r="546" spans="1:8">
      <c r="A546" s="1"/>
      <c r="B546" s="1"/>
      <c r="C546" s="1"/>
      <c r="D546" s="1"/>
      <c r="E546" s="1"/>
      <c r="F546" s="1"/>
      <c r="G546" s="1"/>
      <c r="H546" s="1"/>
    </row>
    <row r="547" spans="1:8">
      <c r="A547" s="1"/>
      <c r="B547" s="1"/>
      <c r="C547" s="1"/>
      <c r="D547" s="1"/>
      <c r="E547" s="1"/>
      <c r="F547" s="1"/>
      <c r="G547" s="1"/>
      <c r="H547" s="1"/>
    </row>
    <row r="548" spans="1:8">
      <c r="A548" s="1"/>
      <c r="B548" s="1"/>
      <c r="C548" s="1"/>
      <c r="D548" s="1"/>
      <c r="E548" s="1"/>
      <c r="F548" s="1"/>
      <c r="G548" s="1"/>
      <c r="H548" s="1"/>
    </row>
    <row r="549" spans="1:8">
      <c r="A549" s="1"/>
      <c r="B549" s="1"/>
      <c r="C549" s="1"/>
      <c r="D549" s="1"/>
      <c r="E549" s="1"/>
      <c r="F549" s="1"/>
      <c r="G549" s="1"/>
      <c r="H549" s="1"/>
    </row>
    <row r="550" spans="1:8">
      <c r="A550" s="1"/>
      <c r="B550" s="1"/>
      <c r="C550" s="1"/>
      <c r="D550" s="1"/>
      <c r="E550" s="1"/>
      <c r="F550" s="1"/>
      <c r="G550" s="1"/>
      <c r="H550" s="1"/>
    </row>
    <row r="551" spans="1:8">
      <c r="A551" s="1"/>
      <c r="B551" s="1"/>
      <c r="C551" s="1"/>
      <c r="D551" s="1"/>
      <c r="E551" s="1"/>
      <c r="F551" s="1"/>
      <c r="G551" s="1"/>
      <c r="H551" s="1"/>
    </row>
    <row r="552" spans="1:8">
      <c r="A552" s="1"/>
      <c r="B552" s="1"/>
      <c r="C552" s="1"/>
      <c r="D552" s="1"/>
      <c r="E552" s="1"/>
      <c r="F552" s="1"/>
      <c r="G552" s="1"/>
      <c r="H552" s="1"/>
    </row>
    <row r="553" spans="1:8">
      <c r="A553" s="1"/>
      <c r="B553" s="1"/>
      <c r="C553" s="1"/>
      <c r="D553" s="1"/>
      <c r="E553" s="1"/>
      <c r="F553" s="1"/>
      <c r="G553" s="1"/>
      <c r="H553" s="1"/>
    </row>
    <row r="554" spans="1:8">
      <c r="A554" s="1"/>
      <c r="B554" s="1"/>
      <c r="C554" s="1"/>
      <c r="D554" s="1"/>
      <c r="E554" s="1"/>
      <c r="F554" s="1"/>
      <c r="G554" s="1"/>
      <c r="H554" s="1"/>
    </row>
    <row r="555" spans="1:8">
      <c r="A555" s="1"/>
      <c r="B555" s="1"/>
      <c r="C555" s="1"/>
      <c r="D555" s="1"/>
      <c r="E555" s="1"/>
      <c r="F555" s="1"/>
      <c r="G555" s="1"/>
      <c r="H555" s="1"/>
    </row>
    <row r="556" spans="1:8">
      <c r="A556" s="1"/>
      <c r="B556" s="1"/>
      <c r="C556" s="1"/>
      <c r="D556" s="1"/>
      <c r="E556" s="1"/>
      <c r="F556" s="1"/>
      <c r="G556" s="1"/>
      <c r="H556" s="1"/>
    </row>
    <row r="557" spans="1:8">
      <c r="A557" s="1"/>
      <c r="B557" s="1"/>
      <c r="C557" s="1"/>
      <c r="D557" s="1"/>
      <c r="E557" s="1"/>
      <c r="F557" s="1"/>
      <c r="G557" s="1"/>
      <c r="H557" s="1"/>
    </row>
    <row r="558" spans="1:8">
      <c r="A558" s="1"/>
      <c r="B558" s="1"/>
      <c r="C558" s="1"/>
      <c r="D558" s="1"/>
      <c r="E558" s="1"/>
      <c r="F558" s="1"/>
      <c r="G558" s="1"/>
      <c r="H558" s="1"/>
    </row>
    <row r="559" spans="1:8">
      <c r="A559" s="1"/>
      <c r="B559" s="1"/>
      <c r="C559" s="1"/>
      <c r="D559" s="1"/>
      <c r="E559" s="1"/>
      <c r="F559" s="1"/>
      <c r="G559" s="1"/>
      <c r="H559" s="1"/>
    </row>
    <row r="560" spans="1:8">
      <c r="A560" s="1"/>
      <c r="B560" s="1"/>
      <c r="C560" s="1"/>
      <c r="D560" s="1"/>
      <c r="E560" s="1"/>
      <c r="F560" s="1"/>
      <c r="G560" s="1"/>
      <c r="H560" s="1"/>
    </row>
    <row r="561" spans="1:8">
      <c r="A561" s="1"/>
      <c r="B561" s="1"/>
      <c r="C561" s="1"/>
      <c r="D561" s="1"/>
      <c r="E561" s="1"/>
      <c r="F561" s="1"/>
      <c r="G561" s="1"/>
      <c r="H561" s="1"/>
    </row>
    <row r="562" spans="1:8">
      <c r="A562" s="1"/>
      <c r="B562" s="1"/>
      <c r="C562" s="1"/>
      <c r="D562" s="1"/>
      <c r="E562" s="1"/>
      <c r="F562" s="1"/>
      <c r="G562" s="1"/>
      <c r="H562" s="1"/>
    </row>
    <row r="563" spans="1:8">
      <c r="A563" s="1"/>
      <c r="B563" s="1"/>
      <c r="C563" s="1"/>
      <c r="D563" s="1"/>
      <c r="E563" s="1"/>
      <c r="F563" s="1"/>
      <c r="G563" s="1"/>
      <c r="H563" s="1"/>
    </row>
    <row r="564" spans="1:8">
      <c r="A564" s="1"/>
      <c r="B564" s="1"/>
      <c r="C564" s="1"/>
      <c r="D564" s="1"/>
      <c r="E564" s="1"/>
      <c r="F564" s="1"/>
      <c r="G564" s="1"/>
      <c r="H564" s="1"/>
    </row>
    <row r="565" spans="1:8">
      <c r="A565" s="1"/>
      <c r="B565" s="1"/>
      <c r="C565" s="1"/>
      <c r="D565" s="1"/>
      <c r="E565" s="1"/>
      <c r="F565" s="1"/>
      <c r="G565" s="1"/>
      <c r="H565" s="1"/>
    </row>
    <row r="566" spans="1:8">
      <c r="A566" s="1"/>
      <c r="B566" s="1"/>
      <c r="C566" s="1"/>
      <c r="D566" s="1"/>
      <c r="E566" s="1"/>
      <c r="F566" s="1"/>
      <c r="G566" s="1"/>
      <c r="H566" s="1"/>
    </row>
    <row r="567" spans="1:8">
      <c r="A567" s="1"/>
      <c r="B567" s="1"/>
      <c r="C567" s="1"/>
      <c r="D567" s="1"/>
      <c r="E567" s="1"/>
      <c r="F567" s="1"/>
      <c r="G567" s="1"/>
      <c r="H567" s="1"/>
    </row>
    <row r="568" spans="1:8">
      <c r="A568" s="1"/>
      <c r="B568" s="1"/>
      <c r="C568" s="1"/>
      <c r="D568" s="1"/>
      <c r="E568" s="1"/>
      <c r="F568" s="1"/>
      <c r="G568" s="1"/>
      <c r="H568" s="1"/>
    </row>
    <row r="569" spans="1:8">
      <c r="A569" s="1"/>
      <c r="B569" s="1"/>
      <c r="C569" s="1"/>
      <c r="D569" s="1"/>
      <c r="E569" s="1"/>
      <c r="F569" s="1"/>
      <c r="G569" s="1"/>
      <c r="H569" s="1"/>
    </row>
    <row r="570" spans="1:8">
      <c r="A570" s="1"/>
      <c r="B570" s="1"/>
      <c r="C570" s="1"/>
      <c r="D570" s="1"/>
      <c r="E570" s="1"/>
      <c r="F570" s="1"/>
      <c r="G570" s="1"/>
      <c r="H570" s="1"/>
    </row>
    <row r="571" spans="1:8">
      <c r="A571" s="1"/>
      <c r="B571" s="1"/>
      <c r="C571" s="1"/>
      <c r="D571" s="1"/>
      <c r="E571" s="1"/>
      <c r="F571" s="1"/>
      <c r="G571" s="1"/>
      <c r="H571" s="1"/>
    </row>
    <row r="572" spans="1:8">
      <c r="A572" s="1"/>
      <c r="B572" s="1"/>
      <c r="C572" s="1"/>
      <c r="D572" s="1"/>
      <c r="E572" s="1"/>
      <c r="F572" s="1"/>
      <c r="G572" s="1"/>
      <c r="H572" s="1"/>
    </row>
    <row r="573" spans="1:8">
      <c r="A573" s="1"/>
      <c r="B573" s="1"/>
      <c r="C573" s="1"/>
      <c r="D573" s="1"/>
      <c r="E573" s="1"/>
      <c r="F573" s="1"/>
      <c r="G573" s="1"/>
      <c r="H573" s="1"/>
    </row>
    <row r="574" spans="1:8">
      <c r="A574" s="1"/>
      <c r="B574" s="1"/>
      <c r="C574" s="1"/>
      <c r="D574" s="1"/>
      <c r="E574" s="1"/>
      <c r="F574" s="1"/>
      <c r="G574" s="1"/>
      <c r="H574" s="1"/>
    </row>
    <row r="575" spans="1:8">
      <c r="A575" s="1"/>
      <c r="B575" s="1"/>
      <c r="C575" s="1"/>
      <c r="D575" s="1"/>
      <c r="E575" s="1"/>
      <c r="F575" s="1"/>
      <c r="G575" s="1"/>
      <c r="H575" s="1"/>
    </row>
    <row r="576" spans="1:8">
      <c r="A576" s="1"/>
      <c r="B576" s="1"/>
      <c r="C576" s="1"/>
      <c r="D576" s="1"/>
      <c r="E576" s="1"/>
      <c r="F576" s="1"/>
      <c r="G576" s="1"/>
      <c r="H576" s="1"/>
    </row>
    <row r="577" spans="1:8">
      <c r="A577" s="1"/>
      <c r="B577" s="1"/>
      <c r="C577" s="1"/>
      <c r="D577" s="1"/>
      <c r="E577" s="1"/>
      <c r="F577" s="1"/>
      <c r="G577" s="1"/>
      <c r="H577" s="1"/>
    </row>
    <row r="578" spans="1:8">
      <c r="A578" s="1"/>
      <c r="B578" s="1"/>
      <c r="C578" s="1"/>
      <c r="D578" s="1"/>
      <c r="E578" s="1"/>
      <c r="F578" s="1"/>
      <c r="G578" s="1"/>
      <c r="H578" s="1"/>
    </row>
    <row r="579" spans="1:8">
      <c r="A579" s="1"/>
      <c r="B579" s="1"/>
      <c r="C579" s="1"/>
      <c r="D579" s="1"/>
      <c r="E579" s="1"/>
      <c r="F579" s="1"/>
      <c r="G579" s="1"/>
      <c r="H579" s="1"/>
    </row>
    <row r="580" spans="1:8">
      <c r="A580" s="1"/>
      <c r="B580" s="1"/>
      <c r="C580" s="1"/>
      <c r="D580" s="1"/>
      <c r="E580" s="1"/>
      <c r="F580" s="1"/>
      <c r="G580" s="1"/>
      <c r="H580" s="1"/>
    </row>
    <row r="581" spans="1:8">
      <c r="A581" s="1"/>
      <c r="B581" s="1"/>
      <c r="C581" s="1"/>
      <c r="D581" s="1"/>
      <c r="E581" s="1"/>
      <c r="F581" s="1"/>
      <c r="G581" s="1"/>
      <c r="H581" s="1"/>
    </row>
    <row r="582" spans="1:8">
      <c r="A582" s="1"/>
      <c r="B582" s="1"/>
      <c r="C582" s="1"/>
      <c r="D582" s="1"/>
      <c r="E582" s="1"/>
      <c r="F582" s="1"/>
      <c r="G582" s="1"/>
      <c r="H582" s="1"/>
    </row>
    <row r="583" spans="1:8">
      <c r="A583" s="1"/>
      <c r="B583" s="1"/>
      <c r="C583" s="1"/>
      <c r="D583" s="1"/>
      <c r="E583" s="1"/>
      <c r="F583" s="1"/>
      <c r="G583" s="1"/>
      <c r="H583" s="1"/>
    </row>
    <row r="584" spans="1:8">
      <c r="A584" s="1"/>
      <c r="B584" s="1"/>
      <c r="C584" s="1"/>
      <c r="D584" s="1"/>
      <c r="E584" s="1"/>
      <c r="F584" s="1"/>
      <c r="G584" s="1"/>
      <c r="H584" s="1"/>
    </row>
    <row r="585" spans="1:8">
      <c r="A585" s="1"/>
      <c r="B585" s="1"/>
      <c r="C585" s="1"/>
      <c r="D585" s="1"/>
      <c r="E585" s="1"/>
      <c r="F585" s="1"/>
      <c r="G585" s="1"/>
      <c r="H585" s="1"/>
    </row>
    <row r="586" spans="1:8">
      <c r="A586" s="1"/>
      <c r="B586" s="1"/>
      <c r="C586" s="1"/>
      <c r="D586" s="1"/>
      <c r="E586" s="1"/>
      <c r="F586" s="1"/>
      <c r="G586" s="1"/>
      <c r="H586" s="1"/>
    </row>
    <row r="587" spans="1:8">
      <c r="A587" s="1"/>
      <c r="B587" s="1"/>
      <c r="C587" s="1"/>
      <c r="D587" s="1"/>
      <c r="E587" s="1"/>
      <c r="F587" s="1"/>
      <c r="G587" s="1"/>
      <c r="H587" s="1"/>
    </row>
    <row r="588" spans="1:8">
      <c r="A588" s="1"/>
      <c r="B588" s="1"/>
      <c r="C588" s="1"/>
      <c r="D588" s="1"/>
      <c r="E588" s="1"/>
      <c r="F588" s="1"/>
      <c r="G588" s="1"/>
      <c r="H588" s="1"/>
    </row>
    <row r="589" spans="1:8">
      <c r="A589" s="1"/>
      <c r="B589" s="1"/>
      <c r="C589" s="1"/>
      <c r="D589" s="1"/>
      <c r="E589" s="1"/>
      <c r="F589" s="1"/>
      <c r="G589" s="1"/>
      <c r="H589" s="1"/>
    </row>
    <row r="590" spans="1:8">
      <c r="A590" s="1"/>
      <c r="B590" s="1"/>
      <c r="C590" s="1"/>
      <c r="D590" s="1"/>
      <c r="E590" s="1"/>
      <c r="F590" s="1"/>
      <c r="G590" s="1"/>
      <c r="H590" s="1"/>
    </row>
    <row r="591" spans="1:8">
      <c r="A591" s="1"/>
      <c r="B591" s="1"/>
      <c r="C591" s="1"/>
      <c r="D591" s="1"/>
      <c r="E591" s="1"/>
      <c r="F591" s="1"/>
      <c r="G591" s="1"/>
      <c r="H591" s="1"/>
    </row>
    <row r="592" spans="1:8">
      <c r="A592" s="1"/>
      <c r="B592" s="1"/>
      <c r="C592" s="1"/>
      <c r="D592" s="1"/>
      <c r="E592" s="1"/>
      <c r="F592" s="1"/>
      <c r="G592" s="1"/>
      <c r="H592" s="1"/>
    </row>
    <row r="593" spans="1:8">
      <c r="A593" s="1"/>
      <c r="B593" s="1"/>
      <c r="C593" s="1"/>
      <c r="D593" s="1"/>
      <c r="E593" s="1"/>
      <c r="F593" s="1"/>
      <c r="G593" s="1"/>
      <c r="H593" s="1"/>
    </row>
    <row r="594" spans="1:8">
      <c r="A594" s="1"/>
      <c r="B594" s="1"/>
      <c r="C594" s="1"/>
      <c r="D594" s="1"/>
      <c r="E594" s="1"/>
      <c r="F594" s="1"/>
      <c r="G594" s="1"/>
      <c r="H594" s="1"/>
    </row>
    <row r="595" spans="1:8">
      <c r="A595" s="1"/>
      <c r="B595" s="1"/>
      <c r="C595" s="1"/>
      <c r="D595" s="1"/>
      <c r="E595" s="1"/>
      <c r="F595" s="1"/>
      <c r="G595" s="1"/>
      <c r="H595" s="1"/>
    </row>
    <row r="596" spans="1:8">
      <c r="A596" s="1"/>
      <c r="B596" s="1"/>
      <c r="C596" s="1"/>
      <c r="D596" s="1"/>
      <c r="E596" s="1"/>
      <c r="F596" s="1"/>
      <c r="G596" s="1"/>
      <c r="H596" s="1"/>
    </row>
    <row r="597" spans="1:8">
      <c r="A597" s="1"/>
      <c r="B597" s="1"/>
      <c r="C597" s="1"/>
      <c r="D597" s="1"/>
      <c r="E597" s="1"/>
      <c r="F597" s="1"/>
      <c r="G597" s="1"/>
      <c r="H597" s="1"/>
    </row>
    <row r="598" spans="1:8">
      <c r="A598" s="1"/>
      <c r="B598" s="1"/>
      <c r="C598" s="1"/>
      <c r="D598" s="1"/>
      <c r="E598" s="1"/>
      <c r="F598" s="1"/>
      <c r="G598" s="1"/>
      <c r="H598" s="1"/>
    </row>
    <row r="599" spans="1:8">
      <c r="A599" s="1"/>
      <c r="B599" s="1"/>
      <c r="C599" s="1"/>
      <c r="D599" s="1"/>
      <c r="E599" s="1"/>
      <c r="F599" s="1"/>
      <c r="G599" s="1"/>
      <c r="H599" s="1"/>
    </row>
    <row r="600" spans="1:8">
      <c r="A600" s="1"/>
      <c r="B600" s="1"/>
      <c r="C600" s="1"/>
      <c r="D600" s="1"/>
      <c r="E600" s="1"/>
      <c r="F600" s="1"/>
      <c r="G600" s="1"/>
      <c r="H600" s="1"/>
    </row>
    <row r="601" spans="1:8">
      <c r="A601" s="1"/>
      <c r="B601" s="1"/>
      <c r="C601" s="1"/>
      <c r="D601" s="1"/>
      <c r="E601" s="1"/>
      <c r="F601" s="1"/>
      <c r="G601" s="1"/>
      <c r="H601" s="1"/>
    </row>
    <row r="602" spans="1:8">
      <c r="A602" s="1"/>
      <c r="B602" s="1"/>
      <c r="C602" s="1"/>
      <c r="D602" s="1"/>
      <c r="E602" s="1"/>
      <c r="F602" s="1"/>
      <c r="G602" s="1"/>
      <c r="H602" s="1"/>
    </row>
    <row r="603" spans="1:8">
      <c r="A603" s="1"/>
      <c r="B603" s="1"/>
      <c r="C603" s="1"/>
      <c r="D603" s="1"/>
      <c r="E603" s="1"/>
      <c r="F603" s="1"/>
      <c r="G603" s="1"/>
      <c r="H603" s="1"/>
    </row>
    <row r="604" spans="1:8">
      <c r="A604" s="1"/>
      <c r="B604" s="1"/>
      <c r="C604" s="1"/>
      <c r="D604" s="1"/>
      <c r="E604" s="1"/>
      <c r="F604" s="1"/>
      <c r="G604" s="1"/>
      <c r="H604" s="1"/>
    </row>
    <row r="605" spans="1:8">
      <c r="A605" s="1"/>
      <c r="B605" s="1"/>
      <c r="C605" s="1"/>
      <c r="D605" s="1"/>
      <c r="E605" s="1"/>
      <c r="F605" s="1"/>
      <c r="G605" s="1"/>
      <c r="H605" s="1"/>
    </row>
    <row r="606" spans="1:8">
      <c r="A606" s="1"/>
      <c r="B606" s="1"/>
      <c r="C606" s="1"/>
      <c r="D606" s="1"/>
      <c r="E606" s="1"/>
      <c r="F606" s="1"/>
      <c r="G606" s="1"/>
      <c r="H606" s="1"/>
    </row>
    <row r="607" spans="1:8">
      <c r="A607" s="1"/>
      <c r="B607" s="1"/>
      <c r="C607" s="1"/>
      <c r="D607" s="1"/>
      <c r="E607" s="1"/>
      <c r="F607" s="1"/>
      <c r="G607" s="1"/>
      <c r="H607" s="1"/>
    </row>
    <row r="608" spans="1:8">
      <c r="A608" s="1"/>
      <c r="B608" s="1"/>
      <c r="C608" s="1"/>
      <c r="D608" s="1"/>
      <c r="E608" s="1"/>
      <c r="F608" s="1"/>
      <c r="G608" s="1"/>
      <c r="H608" s="1"/>
    </row>
    <row r="609" spans="1:8">
      <c r="A609" s="1"/>
      <c r="B609" s="1"/>
      <c r="C609" s="1"/>
      <c r="D609" s="1"/>
      <c r="E609" s="1"/>
      <c r="F609" s="1"/>
      <c r="G609" s="1"/>
      <c r="H609" s="1"/>
    </row>
    <row r="610" spans="1:8">
      <c r="A610" s="1"/>
      <c r="B610" s="1"/>
      <c r="C610" s="1"/>
      <c r="D610" s="1"/>
      <c r="E610" s="1"/>
      <c r="F610" s="1"/>
      <c r="G610" s="1"/>
      <c r="H610" s="1"/>
    </row>
    <row r="611" spans="1:8">
      <c r="A611" s="1"/>
      <c r="B611" s="1"/>
      <c r="C611" s="1"/>
      <c r="D611" s="1"/>
      <c r="E611" s="1"/>
      <c r="F611" s="1"/>
      <c r="G611" s="1"/>
      <c r="H611" s="1"/>
    </row>
    <row r="612" spans="1:8">
      <c r="A612" s="1"/>
      <c r="B612" s="1"/>
      <c r="C612" s="1"/>
      <c r="D612" s="1"/>
      <c r="E612" s="1"/>
      <c r="F612" s="1"/>
      <c r="G612" s="1"/>
      <c r="H612" s="1"/>
    </row>
    <row r="613" spans="1:8">
      <c r="A613" s="1"/>
      <c r="B613" s="1"/>
      <c r="C613" s="1"/>
      <c r="D613" s="1"/>
      <c r="E613" s="1"/>
      <c r="F613" s="1"/>
      <c r="G613" s="1"/>
      <c r="H613" s="1"/>
    </row>
    <row r="614" spans="1:8">
      <c r="A614" s="1"/>
      <c r="B614" s="1"/>
      <c r="C614" s="1"/>
      <c r="D614" s="1"/>
      <c r="E614" s="1"/>
      <c r="F614" s="1"/>
      <c r="G614" s="1"/>
      <c r="H614" s="1"/>
    </row>
    <row r="615" spans="1:8">
      <c r="A615" s="1"/>
      <c r="B615" s="1"/>
      <c r="C615" s="1"/>
      <c r="D615" s="1"/>
      <c r="E615" s="1"/>
      <c r="F615" s="1"/>
      <c r="G615" s="1"/>
      <c r="H615" s="1"/>
    </row>
    <row r="616" spans="1:8">
      <c r="A616" s="1"/>
      <c r="B616" s="1"/>
      <c r="C616" s="1"/>
      <c r="D616" s="1"/>
      <c r="E616" s="1"/>
      <c r="F616" s="1"/>
      <c r="G616" s="1"/>
      <c r="H616" s="1"/>
    </row>
    <row r="617" spans="1:8">
      <c r="A617" s="1"/>
      <c r="B617" s="1"/>
      <c r="C617" s="1"/>
      <c r="D617" s="1"/>
      <c r="E617" s="1"/>
      <c r="F617" s="1"/>
      <c r="G617" s="1"/>
      <c r="H617" s="1"/>
    </row>
    <row r="618" spans="1:8">
      <c r="A618" s="1"/>
      <c r="B618" s="1"/>
      <c r="C618" s="1"/>
      <c r="D618" s="1"/>
      <c r="E618" s="1"/>
      <c r="F618" s="1"/>
      <c r="G618" s="1"/>
      <c r="H618" s="1"/>
    </row>
    <row r="619" spans="1:8">
      <c r="A619" s="1"/>
      <c r="B619" s="1"/>
      <c r="C619" s="1"/>
      <c r="D619" s="1"/>
      <c r="E619" s="1"/>
      <c r="F619" s="1"/>
      <c r="G619" s="1"/>
      <c r="H619" s="1"/>
    </row>
    <row r="620" spans="1:8">
      <c r="A620" s="1"/>
      <c r="B620" s="1"/>
      <c r="C620" s="1"/>
      <c r="D620" s="1"/>
      <c r="E620" s="1"/>
      <c r="F620" s="1"/>
      <c r="G620" s="1"/>
      <c r="H620" s="1"/>
    </row>
    <row r="621" spans="1:8">
      <c r="A621" s="1"/>
      <c r="B621" s="1"/>
      <c r="C621" s="1"/>
      <c r="D621" s="1"/>
      <c r="E621" s="1"/>
      <c r="F621" s="1"/>
      <c r="G621" s="1"/>
      <c r="H621" s="1"/>
    </row>
    <row r="622" spans="1:8">
      <c r="A622" s="1"/>
      <c r="B622" s="1"/>
      <c r="C622" s="1"/>
      <c r="D622" s="1"/>
      <c r="E622" s="1"/>
      <c r="F622" s="1"/>
      <c r="G622" s="1"/>
      <c r="H622" s="1"/>
    </row>
    <row r="623" spans="1:8">
      <c r="A623" s="1"/>
      <c r="B623" s="1"/>
      <c r="C623" s="1"/>
      <c r="D623" s="1"/>
      <c r="E623" s="1"/>
      <c r="F623" s="1"/>
      <c r="G623" s="1"/>
      <c r="H623" s="1"/>
    </row>
    <row r="624" spans="1:8">
      <c r="A624" s="1"/>
      <c r="B624" s="1"/>
      <c r="C624" s="1"/>
      <c r="D624" s="1"/>
      <c r="E624" s="1"/>
      <c r="F624" s="1"/>
      <c r="G624" s="1"/>
      <c r="H624" s="1"/>
    </row>
    <row r="625" spans="1:8">
      <c r="A625" s="1"/>
      <c r="B625" s="1"/>
      <c r="C625" s="1"/>
      <c r="D625" s="1"/>
      <c r="E625" s="1"/>
      <c r="F625" s="1"/>
      <c r="G625" s="1"/>
      <c r="H625" s="1"/>
    </row>
    <row r="626" spans="1:8">
      <c r="A626" s="1"/>
      <c r="B626" s="1"/>
      <c r="C626" s="1"/>
      <c r="D626" s="1"/>
      <c r="E626" s="1"/>
      <c r="F626" s="1"/>
      <c r="G626" s="1"/>
      <c r="H626" s="1"/>
    </row>
    <row r="627" spans="1:8">
      <c r="A627" s="1"/>
      <c r="B627" s="1"/>
      <c r="C627" s="1"/>
      <c r="D627" s="1"/>
      <c r="E627" s="1"/>
      <c r="F627" s="1"/>
      <c r="G627" s="1"/>
      <c r="H627" s="1"/>
    </row>
    <row r="628" spans="1:8">
      <c r="A628" s="1"/>
      <c r="B628" s="1"/>
      <c r="C628" s="1"/>
      <c r="D628" s="1"/>
      <c r="E628" s="1"/>
      <c r="F628" s="1"/>
      <c r="G628" s="1"/>
      <c r="H628" s="1"/>
    </row>
    <row r="629" spans="1:8">
      <c r="A629" s="1"/>
      <c r="B629" s="1"/>
      <c r="C629" s="1"/>
      <c r="D629" s="1"/>
      <c r="E629" s="1"/>
      <c r="F629" s="1"/>
      <c r="G629" s="1"/>
      <c r="H629" s="1"/>
    </row>
    <row r="630" spans="1:8">
      <c r="A630" s="1"/>
      <c r="B630" s="1"/>
      <c r="C630" s="1"/>
      <c r="D630" s="1"/>
      <c r="E630" s="1"/>
      <c r="F630" s="1"/>
      <c r="G630" s="1"/>
      <c r="H630" s="1"/>
    </row>
    <row r="631" spans="1:8">
      <c r="A631" s="1"/>
      <c r="B631" s="1"/>
      <c r="C631" s="1"/>
      <c r="D631" s="1"/>
      <c r="E631" s="1"/>
      <c r="F631" s="1"/>
      <c r="G631" s="1"/>
      <c r="H631" s="1"/>
    </row>
    <row r="632" spans="1:8">
      <c r="A632" s="1"/>
      <c r="B632" s="1"/>
      <c r="C632" s="1"/>
      <c r="D632" s="1"/>
      <c r="E632" s="1"/>
      <c r="F632" s="1"/>
      <c r="G632" s="1"/>
      <c r="H632" s="1"/>
    </row>
    <row r="633" spans="1:8">
      <c r="A633" s="1"/>
      <c r="B633" s="1"/>
      <c r="C633" s="1"/>
      <c r="D633" s="1"/>
      <c r="E633" s="1"/>
      <c r="F633" s="1"/>
      <c r="G633" s="1"/>
      <c r="H633" s="1"/>
    </row>
    <row r="634" spans="1:8">
      <c r="A634" s="1"/>
      <c r="B634" s="1"/>
      <c r="C634" s="1"/>
      <c r="D634" s="1"/>
      <c r="E634" s="1"/>
      <c r="F634" s="1"/>
      <c r="G634" s="1"/>
      <c r="H634" s="1"/>
    </row>
    <row r="635" spans="1:8">
      <c r="A635" s="1"/>
      <c r="B635" s="1"/>
      <c r="C635" s="1"/>
      <c r="D635" s="1"/>
      <c r="E635" s="1"/>
      <c r="F635" s="1"/>
      <c r="G635" s="1"/>
      <c r="H635" s="1"/>
    </row>
    <row r="636" spans="1:8">
      <c r="A636" s="1"/>
      <c r="B636" s="1"/>
      <c r="C636" s="1"/>
      <c r="D636" s="1"/>
      <c r="E636" s="1"/>
      <c r="F636" s="1"/>
      <c r="G636" s="1"/>
      <c r="H636" s="1"/>
    </row>
    <row r="637" spans="1:8">
      <c r="A637" s="1"/>
      <c r="B637" s="1"/>
      <c r="C637" s="1"/>
      <c r="D637" s="1"/>
      <c r="E637" s="1"/>
      <c r="F637" s="1"/>
      <c r="G637" s="1"/>
      <c r="H637" s="1"/>
    </row>
    <row r="638" spans="1:8">
      <c r="A638" s="1"/>
      <c r="B638" s="1"/>
      <c r="C638" s="1"/>
      <c r="D638" s="1"/>
      <c r="E638" s="1"/>
      <c r="F638" s="1"/>
      <c r="G638" s="1"/>
      <c r="H638" s="1"/>
    </row>
    <row r="639" spans="1:8">
      <c r="A639" s="1"/>
      <c r="B639" s="1"/>
      <c r="C639" s="1"/>
      <c r="D639" s="1"/>
      <c r="E639" s="1"/>
      <c r="F639" s="1"/>
      <c r="G639" s="1"/>
      <c r="H639" s="1"/>
    </row>
    <row r="640" spans="1:8">
      <c r="A640" s="1"/>
      <c r="B640" s="1"/>
      <c r="C640" s="1"/>
      <c r="D640" s="1"/>
      <c r="E640" s="1"/>
      <c r="F640" s="1"/>
      <c r="G640" s="1"/>
      <c r="H640" s="1"/>
    </row>
    <row r="641" spans="1:8">
      <c r="A641" s="1"/>
      <c r="B641" s="1"/>
      <c r="C641" s="1"/>
      <c r="D641" s="1"/>
      <c r="E641" s="1"/>
      <c r="F641" s="1"/>
      <c r="G641" s="1"/>
      <c r="H641" s="1"/>
    </row>
    <row r="642" spans="1:8">
      <c r="A642" s="1"/>
      <c r="B642" s="1"/>
      <c r="C642" s="1"/>
      <c r="D642" s="1"/>
      <c r="E642" s="1"/>
      <c r="F642" s="1"/>
      <c r="G642" s="1"/>
      <c r="H642" s="1"/>
    </row>
    <row r="643" spans="1:8">
      <c r="A643" s="1"/>
      <c r="B643" s="1"/>
      <c r="C643" s="1"/>
      <c r="D643" s="1"/>
      <c r="E643" s="1"/>
      <c r="F643" s="1"/>
      <c r="G643" s="1"/>
      <c r="H643" s="1"/>
    </row>
    <row r="644" spans="1:8">
      <c r="A644" s="1"/>
      <c r="B644" s="1"/>
      <c r="C644" s="1"/>
      <c r="D644" s="1"/>
      <c r="E644" s="1"/>
      <c r="F644" s="1"/>
      <c r="G644" s="1"/>
      <c r="H644" s="1"/>
    </row>
    <row r="645" spans="1:8">
      <c r="A645" s="1"/>
      <c r="B645" s="1"/>
      <c r="C645" s="1"/>
      <c r="D645" s="1"/>
      <c r="E645" s="1"/>
      <c r="F645" s="1"/>
      <c r="G645" s="1"/>
      <c r="H645" s="1"/>
    </row>
    <row r="646" spans="1:8">
      <c r="A646" s="1"/>
      <c r="B646" s="1"/>
      <c r="C646" s="1"/>
      <c r="D646" s="1"/>
      <c r="E646" s="1"/>
      <c r="F646" s="1"/>
      <c r="G646" s="1"/>
      <c r="H646" s="1"/>
    </row>
    <row r="647" spans="1:8">
      <c r="A647" s="1"/>
      <c r="B647" s="1"/>
      <c r="C647" s="1"/>
      <c r="D647" s="1"/>
      <c r="E647" s="1"/>
      <c r="F647" s="1"/>
      <c r="G647" s="1"/>
      <c r="H647" s="1"/>
    </row>
    <row r="648" spans="1:8">
      <c r="A648" s="1"/>
      <c r="B648" s="1"/>
      <c r="C648" s="1"/>
      <c r="D648" s="1"/>
      <c r="E648" s="1"/>
      <c r="F648" s="1"/>
      <c r="G648" s="1"/>
      <c r="H648" s="1"/>
    </row>
    <row r="649" spans="1:8">
      <c r="A649" s="1"/>
      <c r="B649" s="1"/>
      <c r="C649" s="1"/>
      <c r="D649" s="1"/>
      <c r="E649" s="1"/>
      <c r="F649" s="1"/>
      <c r="G649" s="1"/>
      <c r="H649" s="1"/>
    </row>
    <row r="650" spans="1:8">
      <c r="A650" s="1"/>
      <c r="B650" s="1"/>
      <c r="C650" s="1"/>
      <c r="D650" s="1"/>
      <c r="E650" s="1"/>
      <c r="F650" s="1"/>
      <c r="G650" s="1"/>
      <c r="H650" s="1"/>
    </row>
    <row r="651" spans="1:8">
      <c r="A651" s="1"/>
      <c r="B651" s="1"/>
      <c r="C651" s="1"/>
      <c r="D651" s="1"/>
      <c r="E651" s="1"/>
      <c r="F651" s="1"/>
      <c r="G651" s="1"/>
      <c r="H651" s="1"/>
    </row>
    <row r="652" spans="1:8">
      <c r="A652" s="1"/>
      <c r="B652" s="1"/>
      <c r="C652" s="1"/>
      <c r="D652" s="1"/>
      <c r="E652" s="1"/>
      <c r="F652" s="1"/>
      <c r="G652" s="1"/>
      <c r="H652" s="1"/>
    </row>
    <row r="653" spans="1:8">
      <c r="A653" s="1"/>
      <c r="B653" s="1"/>
      <c r="C653" s="1"/>
      <c r="D653" s="1"/>
      <c r="E653" s="1"/>
      <c r="F653" s="1"/>
      <c r="G653" s="1"/>
      <c r="H653" s="1"/>
    </row>
    <row r="654" spans="1:8">
      <c r="A654" s="1"/>
      <c r="B654" s="1"/>
      <c r="C654" s="1"/>
      <c r="D654" s="1"/>
      <c r="E654" s="1"/>
      <c r="F654" s="1"/>
      <c r="G654" s="1"/>
      <c r="H654" s="1"/>
    </row>
  </sheetData>
  <mergeCells count="242">
    <mergeCell ref="G214:H214"/>
    <mergeCell ref="G203:H203"/>
    <mergeCell ref="G204:H204"/>
    <mergeCell ref="G205:H205"/>
    <mergeCell ref="G206:H206"/>
    <mergeCell ref="G208:H208"/>
    <mergeCell ref="G224:H224"/>
    <mergeCell ref="G202:H202"/>
    <mergeCell ref="G225:H225"/>
    <mergeCell ref="G215:H215"/>
    <mergeCell ref="G192:H192"/>
    <mergeCell ref="G193:H193"/>
    <mergeCell ref="G194:H194"/>
    <mergeCell ref="G197:H197"/>
    <mergeCell ref="G195:H195"/>
    <mergeCell ref="G196:H196"/>
    <mergeCell ref="G201:H201"/>
    <mergeCell ref="G198:H198"/>
    <mergeCell ref="G199:H199"/>
    <mergeCell ref="G200:H200"/>
    <mergeCell ref="G190:H190"/>
    <mergeCell ref="G191:H191"/>
    <mergeCell ref="G41:H41"/>
    <mergeCell ref="G42:H42"/>
    <mergeCell ref="G110:H110"/>
    <mergeCell ref="G217:H217"/>
    <mergeCell ref="G182:H182"/>
    <mergeCell ref="G183:H183"/>
    <mergeCell ref="G184:H184"/>
    <mergeCell ref="G186:H186"/>
    <mergeCell ref="G188:H188"/>
    <mergeCell ref="G189:H189"/>
    <mergeCell ref="G174:H174"/>
    <mergeCell ref="G175:H175"/>
    <mergeCell ref="G176:H176"/>
    <mergeCell ref="G207:H207"/>
    <mergeCell ref="G209:H209"/>
    <mergeCell ref="G210:H210"/>
    <mergeCell ref="G211:H211"/>
    <mergeCell ref="G212:H212"/>
    <mergeCell ref="G213:H213"/>
    <mergeCell ref="G187:H187"/>
    <mergeCell ref="G177:H177"/>
    <mergeCell ref="G178:H178"/>
    <mergeCell ref="G245:H245"/>
    <mergeCell ref="G246:H246"/>
    <mergeCell ref="G241:H241"/>
    <mergeCell ref="G242:H242"/>
    <mergeCell ref="G243:H243"/>
    <mergeCell ref="G244:H244"/>
    <mergeCell ref="G236:H236"/>
    <mergeCell ref="G237:H237"/>
    <mergeCell ref="G238:H238"/>
    <mergeCell ref="G239:H239"/>
    <mergeCell ref="G240:H240"/>
    <mergeCell ref="G234:H234"/>
    <mergeCell ref="G235:H235"/>
    <mergeCell ref="G220:H220"/>
    <mergeCell ref="G221:H221"/>
    <mergeCell ref="G222:H222"/>
    <mergeCell ref="G223:H223"/>
    <mergeCell ref="G216:H216"/>
    <mergeCell ref="G231:H231"/>
    <mergeCell ref="G232:H232"/>
    <mergeCell ref="G233:H233"/>
    <mergeCell ref="G227:H227"/>
    <mergeCell ref="G228:H228"/>
    <mergeCell ref="G229:H229"/>
    <mergeCell ref="G230:H230"/>
    <mergeCell ref="G226:H226"/>
    <mergeCell ref="G179:H179"/>
    <mergeCell ref="G168:H168"/>
    <mergeCell ref="G169:H169"/>
    <mergeCell ref="G170:H170"/>
    <mergeCell ref="G171:H171"/>
    <mergeCell ref="G172:H172"/>
    <mergeCell ref="G173:H173"/>
    <mergeCell ref="G162:H162"/>
    <mergeCell ref="G163:H163"/>
    <mergeCell ref="G164:H164"/>
    <mergeCell ref="G165:H165"/>
    <mergeCell ref="G166:H166"/>
    <mergeCell ref="G167:H167"/>
    <mergeCell ref="G156:H156"/>
    <mergeCell ref="G157:H157"/>
    <mergeCell ref="G158:H158"/>
    <mergeCell ref="G159:H159"/>
    <mergeCell ref="G160:H160"/>
    <mergeCell ref="G161:H161"/>
    <mergeCell ref="G150:H150"/>
    <mergeCell ref="G151:H151"/>
    <mergeCell ref="G152:H152"/>
    <mergeCell ref="G153:H153"/>
    <mergeCell ref="G154:H154"/>
    <mergeCell ref="G155:H155"/>
    <mergeCell ref="G144:H144"/>
    <mergeCell ref="G145:H145"/>
    <mergeCell ref="G146:H146"/>
    <mergeCell ref="G147:H147"/>
    <mergeCell ref="G148:H148"/>
    <mergeCell ref="G149:H149"/>
    <mergeCell ref="G138:H138"/>
    <mergeCell ref="G139:H139"/>
    <mergeCell ref="G140:H140"/>
    <mergeCell ref="G141:H141"/>
    <mergeCell ref="G142:H142"/>
    <mergeCell ref="G143:H143"/>
    <mergeCell ref="G133:H133"/>
    <mergeCell ref="G134:H134"/>
    <mergeCell ref="G135:H135"/>
    <mergeCell ref="G136:H136"/>
    <mergeCell ref="G137:H137"/>
    <mergeCell ref="G127:H127"/>
    <mergeCell ref="G128:H128"/>
    <mergeCell ref="G129:H129"/>
    <mergeCell ref="G130:H130"/>
    <mergeCell ref="G131:H131"/>
    <mergeCell ref="G132:H132"/>
    <mergeCell ref="G121:H121"/>
    <mergeCell ref="G122:H122"/>
    <mergeCell ref="G123:H123"/>
    <mergeCell ref="G124:H124"/>
    <mergeCell ref="G125:H125"/>
    <mergeCell ref="G126:H126"/>
    <mergeCell ref="G115:H115"/>
    <mergeCell ref="G116:H116"/>
    <mergeCell ref="G117:H117"/>
    <mergeCell ref="G118:H118"/>
    <mergeCell ref="G119:H119"/>
    <mergeCell ref="G120:H120"/>
    <mergeCell ref="G94:H94"/>
    <mergeCell ref="G95:H95"/>
    <mergeCell ref="G113:H113"/>
    <mergeCell ref="G114:H114"/>
    <mergeCell ref="G103:H103"/>
    <mergeCell ref="G104:H104"/>
    <mergeCell ref="G105:H105"/>
    <mergeCell ref="G106:H106"/>
    <mergeCell ref="G107:H107"/>
    <mergeCell ref="G108:H108"/>
    <mergeCell ref="G109:H109"/>
    <mergeCell ref="G111:H111"/>
    <mergeCell ref="G112:H112"/>
    <mergeCell ref="G102:H102"/>
    <mergeCell ref="G96:H96"/>
    <mergeCell ref="G97:H97"/>
    <mergeCell ref="G98:H98"/>
    <mergeCell ref="G99:H99"/>
    <mergeCell ref="G100:H100"/>
    <mergeCell ref="G101:H101"/>
    <mergeCell ref="G77:H77"/>
    <mergeCell ref="G78:H78"/>
    <mergeCell ref="G90:H90"/>
    <mergeCell ref="G91:H91"/>
    <mergeCell ref="G92:H92"/>
    <mergeCell ref="G93:H93"/>
    <mergeCell ref="G35:H35"/>
    <mergeCell ref="G36:H36"/>
    <mergeCell ref="G43:H43"/>
    <mergeCell ref="G39:H39"/>
    <mergeCell ref="G82:H82"/>
    <mergeCell ref="G83:H83"/>
    <mergeCell ref="G73:H73"/>
    <mergeCell ref="G40:H40"/>
    <mergeCell ref="G84:H84"/>
    <mergeCell ref="G85:H85"/>
    <mergeCell ref="G86:H86"/>
    <mergeCell ref="G87:H87"/>
    <mergeCell ref="G88:H88"/>
    <mergeCell ref="G89:H89"/>
    <mergeCell ref="E253:H253"/>
    <mergeCell ref="E254:H254"/>
    <mergeCell ref="G15:H15"/>
    <mergeCell ref="G16:H16"/>
    <mergeCell ref="G17:H17"/>
    <mergeCell ref="G18:H18"/>
    <mergeCell ref="G19:H19"/>
    <mergeCell ref="G26:H26"/>
    <mergeCell ref="G27:H27"/>
    <mergeCell ref="G28:H28"/>
    <mergeCell ref="G29:H29"/>
    <mergeCell ref="G30:H30"/>
    <mergeCell ref="G31:H31"/>
    <mergeCell ref="G20:H20"/>
    <mergeCell ref="G21:H21"/>
    <mergeCell ref="G22:H22"/>
    <mergeCell ref="G23:H23"/>
    <mergeCell ref="G24:H24"/>
    <mergeCell ref="G25:H25"/>
    <mergeCell ref="G32:H32"/>
    <mergeCell ref="G33:H33"/>
    <mergeCell ref="G58:H58"/>
    <mergeCell ref="G60:H60"/>
    <mergeCell ref="G72:H72"/>
    <mergeCell ref="E251:H251"/>
    <mergeCell ref="E252:H252"/>
    <mergeCell ref="G59:H59"/>
    <mergeCell ref="G54:H54"/>
    <mergeCell ref="G55:H55"/>
    <mergeCell ref="G56:H56"/>
    <mergeCell ref="G57:H57"/>
    <mergeCell ref="G79:H79"/>
    <mergeCell ref="G69:H69"/>
    <mergeCell ref="G71:H71"/>
    <mergeCell ref="G70:H70"/>
    <mergeCell ref="G61:H61"/>
    <mergeCell ref="G62:H62"/>
    <mergeCell ref="G63:H63"/>
    <mergeCell ref="G64:H64"/>
    <mergeCell ref="G65:H65"/>
    <mergeCell ref="G66:H66"/>
    <mergeCell ref="G67:H67"/>
    <mergeCell ref="G68:H68"/>
    <mergeCell ref="G80:H80"/>
    <mergeCell ref="G81:H81"/>
    <mergeCell ref="G219:H219"/>
    <mergeCell ref="G218:H218"/>
    <mergeCell ref="G185:H185"/>
    <mergeCell ref="G180:H180"/>
    <mergeCell ref="G181:H181"/>
    <mergeCell ref="A1:H7"/>
    <mergeCell ref="A8:H8"/>
    <mergeCell ref="A10:H10"/>
    <mergeCell ref="B11:H11"/>
    <mergeCell ref="A12:H12"/>
    <mergeCell ref="A13:H13"/>
    <mergeCell ref="A14:E14"/>
    <mergeCell ref="G45:H45"/>
    <mergeCell ref="G46:H46"/>
    <mergeCell ref="G47:H47"/>
    <mergeCell ref="G48:H48"/>
    <mergeCell ref="G49:H49"/>
    <mergeCell ref="G50:H50"/>
    <mergeCell ref="G51:H51"/>
    <mergeCell ref="G52:H52"/>
    <mergeCell ref="G53:H53"/>
    <mergeCell ref="G74:H74"/>
    <mergeCell ref="G75:H75"/>
    <mergeCell ref="G76:H76"/>
    <mergeCell ref="G34:H34"/>
    <mergeCell ref="G37:H37"/>
    <mergeCell ref="G38:H38"/>
  </mergeCells>
  <pageMargins left="0.51181102362204722" right="0.51181102362204722" top="0.78740157480314965" bottom="0.78740157480314965" header="0.31496062992125984" footer="0.31496062992125984"/>
  <pageSetup paperSize="9" scale="78" fitToHeight="0" orientation="landscape" r:id="rId1"/>
  <headerFooter>
    <oddFooter xml:space="preserve">&amp;C&amp;"Arial,Normal"&amp;8Prefeitura Municipal da Estância Turística de Paraguaçu Paulista - Av. Siqueira Campos 1430 - CEP 19.703-061 - Fone: (18)3361-9100 - Fax: (18)3361-1331 – Estância Turística de Paraguaçu Paulista - SP </oddFooter>
  </headerFooter>
  <rowBreaks count="10" manualBreakCount="10">
    <brk id="27" max="7" man="1"/>
    <brk id="64" max="7" man="1"/>
    <brk id="78" max="7" man="1"/>
    <brk id="143" max="7" man="1"/>
    <brk id="154" max="7" man="1"/>
    <brk id="169" max="7" man="1"/>
    <brk id="182" max="7" man="1"/>
    <brk id="202" max="7" man="1"/>
    <brk id="217" max="7" man="1"/>
    <brk id="233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79"/>
  <sheetViews>
    <sheetView view="pageBreakPreview" topLeftCell="A16" zoomScale="64" zoomScaleNormal="120" zoomScaleSheetLayoutView="100" workbookViewId="0">
      <selection activeCell="S77" sqref="S77"/>
    </sheetView>
  </sheetViews>
  <sheetFormatPr defaultRowHeight="12.75"/>
  <cols>
    <col min="1" max="1" width="4.7109375" style="76" customWidth="1"/>
    <col min="2" max="2" width="6.28515625" style="76" customWidth="1"/>
    <col min="3" max="3" width="25.28515625" style="76" customWidth="1"/>
    <col min="4" max="5" width="15.85546875" style="76" customWidth="1"/>
    <col min="6" max="6" width="17" style="76" bestFit="1" customWidth="1"/>
    <col min="7" max="7" width="15.140625" style="76" customWidth="1"/>
    <col min="8" max="8" width="15.85546875" style="76" customWidth="1"/>
    <col min="9" max="9" width="15.140625" style="76" customWidth="1"/>
    <col min="10" max="15" width="15.28515625" style="76" customWidth="1"/>
    <col min="16" max="16" width="21.28515625" style="76" customWidth="1"/>
    <col min="17" max="17" width="18.7109375" style="76" customWidth="1"/>
    <col min="18" max="18" width="14.42578125" style="76" bestFit="1" customWidth="1"/>
    <col min="19" max="19" width="13.42578125" style="76" customWidth="1"/>
    <col min="20" max="20" width="10.7109375" style="76" customWidth="1"/>
    <col min="21" max="1025" width="8.42578125" style="76" customWidth="1"/>
    <col min="1026" max="16384" width="9.140625" style="76"/>
  </cols>
  <sheetData>
    <row r="1" spans="1:19" ht="12.75" customHeight="1">
      <c r="A1" s="334" t="s">
        <v>442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  <c r="O1" s="334"/>
      <c r="P1" s="334"/>
    </row>
    <row r="2" spans="1:19">
      <c r="A2" s="334"/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4"/>
      <c r="O2" s="334"/>
      <c r="P2" s="334"/>
    </row>
    <row r="3" spans="1:19">
      <c r="A3" s="334"/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34"/>
      <c r="P3" s="334"/>
    </row>
    <row r="4" spans="1:19">
      <c r="A4" s="334"/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</row>
    <row r="5" spans="1:19">
      <c r="A5" s="334"/>
      <c r="B5" s="334"/>
      <c r="C5" s="334"/>
      <c r="D5" s="334"/>
      <c r="E5" s="334"/>
      <c r="F5" s="334"/>
      <c r="G5" s="334"/>
      <c r="H5" s="334"/>
      <c r="I5" s="334"/>
      <c r="J5" s="334"/>
      <c r="K5" s="334"/>
      <c r="L5" s="334"/>
      <c r="M5" s="334"/>
      <c r="N5" s="334"/>
      <c r="O5" s="334"/>
      <c r="P5" s="334"/>
    </row>
    <row r="6" spans="1:19">
      <c r="A6" s="334"/>
      <c r="B6" s="334"/>
      <c r="C6" s="334"/>
      <c r="D6" s="334"/>
      <c r="E6" s="334"/>
      <c r="F6" s="334"/>
      <c r="G6" s="334"/>
      <c r="H6" s="334"/>
      <c r="I6" s="334"/>
      <c r="J6" s="334"/>
      <c r="K6" s="334"/>
      <c r="L6" s="334"/>
      <c r="M6" s="334"/>
      <c r="N6" s="334"/>
      <c r="O6" s="334"/>
      <c r="P6" s="334"/>
    </row>
    <row r="7" spans="1:19">
      <c r="A7" s="334"/>
      <c r="B7" s="334"/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4"/>
      <c r="N7" s="334"/>
      <c r="O7" s="334"/>
      <c r="P7" s="334"/>
    </row>
    <row r="8" spans="1:19">
      <c r="A8" s="335" t="s">
        <v>443</v>
      </c>
      <c r="B8" s="335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335"/>
      <c r="O8" s="335"/>
      <c r="P8" s="335"/>
    </row>
    <row r="9" spans="1:19">
      <c r="A9" s="77"/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9"/>
    </row>
    <row r="10" spans="1:19" ht="12" customHeight="1">
      <c r="A10" s="336" t="s">
        <v>444</v>
      </c>
      <c r="B10" s="337"/>
      <c r="C10" s="337"/>
      <c r="D10" s="337"/>
      <c r="E10" s="337"/>
      <c r="F10" s="337"/>
      <c r="G10" s="337"/>
      <c r="H10" s="337"/>
      <c r="I10" s="337"/>
      <c r="J10" s="337"/>
      <c r="K10" s="337"/>
      <c r="L10" s="337"/>
      <c r="M10" s="337"/>
      <c r="N10" s="337"/>
      <c r="O10" s="337"/>
      <c r="P10" s="338"/>
    </row>
    <row r="11" spans="1:19" ht="8.1" customHeight="1">
      <c r="A11" s="339"/>
      <c r="B11" s="340"/>
      <c r="C11" s="340"/>
      <c r="D11" s="340"/>
      <c r="E11" s="340"/>
      <c r="F11" s="340"/>
      <c r="G11" s="340"/>
      <c r="H11" s="340"/>
      <c r="I11" s="340"/>
      <c r="J11" s="340"/>
      <c r="K11" s="340"/>
      <c r="L11" s="340"/>
      <c r="M11" s="340"/>
      <c r="N11" s="340"/>
      <c r="O11" s="340"/>
      <c r="P11" s="341"/>
    </row>
    <row r="12" spans="1:19" ht="17.25" customHeight="1">
      <c r="A12" s="333" t="s">
        <v>603</v>
      </c>
      <c r="B12" s="333"/>
      <c r="C12" s="333"/>
      <c r="D12" s="333"/>
      <c r="E12" s="333"/>
      <c r="F12" s="333"/>
      <c r="G12" s="333"/>
      <c r="H12" s="333"/>
      <c r="I12" s="333"/>
      <c r="J12" s="333"/>
      <c r="K12" s="333"/>
      <c r="L12" s="333"/>
      <c r="M12" s="333"/>
      <c r="N12" s="333"/>
      <c r="O12" s="333"/>
      <c r="P12" s="333"/>
    </row>
    <row r="13" spans="1:19" ht="18" customHeight="1">
      <c r="A13" s="333" t="s">
        <v>478</v>
      </c>
      <c r="B13" s="333"/>
      <c r="C13" s="333"/>
      <c r="D13" s="333"/>
      <c r="E13" s="333"/>
      <c r="F13" s="333"/>
      <c r="G13" s="333"/>
      <c r="H13" s="333"/>
      <c r="I13" s="333"/>
      <c r="J13" s="333"/>
      <c r="K13" s="333"/>
      <c r="L13" s="333"/>
      <c r="M13" s="333"/>
      <c r="N13" s="333"/>
      <c r="O13" s="333"/>
      <c r="P13" s="333"/>
    </row>
    <row r="14" spans="1:19" ht="15" customHeight="1">
      <c r="A14" s="344" t="s">
        <v>767</v>
      </c>
      <c r="B14" s="344"/>
      <c r="C14" s="344"/>
      <c r="D14" s="344"/>
      <c r="E14" s="344"/>
      <c r="F14" s="344"/>
      <c r="G14" s="344"/>
      <c r="H14" s="344"/>
      <c r="I14" s="344"/>
      <c r="J14" s="344"/>
      <c r="K14" s="344"/>
      <c r="L14" s="344"/>
      <c r="M14" s="344"/>
      <c r="N14" s="344"/>
      <c r="O14" s="344"/>
      <c r="P14" s="344"/>
      <c r="R14" s="80"/>
      <c r="S14" s="80"/>
    </row>
    <row r="15" spans="1:19" ht="4.5" customHeight="1">
      <c r="A15" s="345"/>
      <c r="B15" s="346"/>
      <c r="C15" s="346"/>
      <c r="D15" s="346"/>
      <c r="E15" s="346"/>
      <c r="F15" s="346"/>
      <c r="G15" s="346"/>
      <c r="H15" s="346"/>
      <c r="I15" s="346"/>
      <c r="J15" s="346"/>
      <c r="K15" s="346"/>
      <c r="L15" s="346"/>
      <c r="M15" s="346"/>
      <c r="N15" s="346"/>
      <c r="O15" s="346"/>
      <c r="P15" s="347"/>
    </row>
    <row r="16" spans="1:19" ht="15" customHeight="1">
      <c r="A16" s="81"/>
      <c r="B16" s="82"/>
      <c r="C16" s="83" t="s">
        <v>445</v>
      </c>
      <c r="D16" s="269" t="s">
        <v>446</v>
      </c>
      <c r="E16" s="269" t="s">
        <v>447</v>
      </c>
      <c r="F16" s="269" t="s">
        <v>448</v>
      </c>
      <c r="G16" s="269" t="s">
        <v>449</v>
      </c>
      <c r="H16" s="269" t="s">
        <v>450</v>
      </c>
      <c r="I16" s="269" t="s">
        <v>451</v>
      </c>
      <c r="J16" s="269" t="s">
        <v>452</v>
      </c>
      <c r="K16" s="269" t="s">
        <v>453</v>
      </c>
      <c r="L16" s="269" t="s">
        <v>454</v>
      </c>
      <c r="M16" s="269" t="s">
        <v>455</v>
      </c>
      <c r="N16" s="269" t="s">
        <v>456</v>
      </c>
      <c r="O16" s="269" t="s">
        <v>457</v>
      </c>
      <c r="P16" s="348" t="s">
        <v>458</v>
      </c>
    </row>
    <row r="17" spans="1:29" ht="15" customHeight="1" thickBot="1">
      <c r="A17" s="350" t="s">
        <v>459</v>
      </c>
      <c r="B17" s="351"/>
      <c r="C17" s="352"/>
      <c r="D17" s="84">
        <v>30</v>
      </c>
      <c r="E17" s="85">
        <v>60</v>
      </c>
      <c r="F17" s="84">
        <v>90</v>
      </c>
      <c r="G17" s="85">
        <v>120</v>
      </c>
      <c r="H17" s="84">
        <v>150</v>
      </c>
      <c r="I17" s="85">
        <v>180</v>
      </c>
      <c r="J17" s="84">
        <v>210</v>
      </c>
      <c r="K17" s="85">
        <v>240</v>
      </c>
      <c r="L17" s="84">
        <v>270</v>
      </c>
      <c r="M17" s="85">
        <v>300</v>
      </c>
      <c r="N17" s="84">
        <v>330</v>
      </c>
      <c r="O17" s="85">
        <v>360</v>
      </c>
      <c r="P17" s="349"/>
    </row>
    <row r="18" spans="1:29" ht="15" customHeight="1">
      <c r="A18" s="353" t="s">
        <v>385</v>
      </c>
      <c r="B18" s="355" t="s">
        <v>460</v>
      </c>
      <c r="C18" s="356" t="s">
        <v>479</v>
      </c>
      <c r="D18" s="86">
        <f>D19/P19</f>
        <v>0.82537018773774873</v>
      </c>
      <c r="E18" s="87">
        <f>E19/P19</f>
        <v>5.8209937420750493E-2</v>
      </c>
      <c r="F18" s="87">
        <f>F19/P19</f>
        <v>5.8209937420750493E-2</v>
      </c>
      <c r="G18" s="87"/>
      <c r="H18" s="87"/>
      <c r="I18" s="87"/>
      <c r="J18" s="87"/>
      <c r="K18" s="87"/>
      <c r="L18" s="87"/>
      <c r="M18" s="87"/>
      <c r="N18" s="87"/>
      <c r="O18" s="87"/>
      <c r="P18" s="88">
        <f>'CRONOGRAMA FÍS. FINANCEIRO 12m'!P19/$P$73</f>
        <v>8.2713101970185547E-3</v>
      </c>
      <c r="Q18" s="89"/>
    </row>
    <row r="19" spans="1:29" ht="22.5" customHeight="1">
      <c r="A19" s="354"/>
      <c r="B19" s="342"/>
      <c r="C19" s="343"/>
      <c r="D19" s="90">
        <f>5290.61-326.4-652.8+225+91.68</f>
        <v>4628.09</v>
      </c>
      <c r="E19" s="90">
        <v>326.39999999999998</v>
      </c>
      <c r="F19" s="90">
        <v>326.39999999999998</v>
      </c>
      <c r="G19" s="90">
        <v>326.39999999999998</v>
      </c>
      <c r="H19" s="90"/>
      <c r="I19" s="90"/>
      <c r="J19" s="90"/>
      <c r="K19" s="90"/>
      <c r="L19" s="90"/>
      <c r="M19" s="90"/>
      <c r="N19" s="90"/>
      <c r="O19" s="90"/>
      <c r="P19" s="91">
        <f>SUM(D19:O19)</f>
        <v>5607.2899999999991</v>
      </c>
      <c r="Q19" s="92"/>
      <c r="R19" s="244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</row>
    <row r="20" spans="1:29" ht="15" customHeight="1">
      <c r="A20" s="354"/>
      <c r="B20" s="342" t="s">
        <v>461</v>
      </c>
      <c r="C20" s="343" t="s">
        <v>56</v>
      </c>
      <c r="D20" s="86"/>
      <c r="E20" s="86">
        <f>E21/P21</f>
        <v>0.52216504140600073</v>
      </c>
      <c r="F20" s="86">
        <f>F21/P21</f>
        <v>0.47783495859399927</v>
      </c>
      <c r="G20" s="87"/>
      <c r="H20" s="87"/>
      <c r="I20" s="87"/>
      <c r="J20" s="87"/>
      <c r="K20" s="87"/>
      <c r="L20" s="87"/>
      <c r="M20" s="87"/>
      <c r="N20" s="87"/>
      <c r="O20" s="87"/>
      <c r="P20" s="88">
        <f>P21/$P$73</f>
        <v>1.0634139190469278E-2</v>
      </c>
      <c r="Q20" s="89"/>
      <c r="R20" s="94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</row>
    <row r="21" spans="1:29" ht="15" customHeight="1">
      <c r="A21" s="354"/>
      <c r="B21" s="342"/>
      <c r="C21" s="343"/>
      <c r="D21" s="95"/>
      <c r="E21" s="90">
        <v>3764.34</v>
      </c>
      <c r="F21" s="90">
        <v>3444.76</v>
      </c>
      <c r="G21" s="90"/>
      <c r="H21" s="90"/>
      <c r="I21" s="90"/>
      <c r="J21" s="90"/>
      <c r="K21" s="90"/>
      <c r="L21" s="96"/>
      <c r="M21" s="96"/>
      <c r="N21" s="96"/>
      <c r="O21" s="96"/>
      <c r="P21" s="91">
        <f>SUM(E21:O21)</f>
        <v>7209.1</v>
      </c>
      <c r="Q21" s="92"/>
      <c r="R21" s="244"/>
      <c r="S21" s="93"/>
      <c r="T21" s="93"/>
      <c r="U21" s="93"/>
      <c r="V21" s="93"/>
      <c r="W21" s="93"/>
      <c r="X21" s="93"/>
      <c r="Y21" s="93"/>
      <c r="Z21" s="93"/>
      <c r="AA21" s="93"/>
      <c r="AB21" s="93"/>
      <c r="AC21" s="93"/>
    </row>
    <row r="22" spans="1:29" ht="15" customHeight="1">
      <c r="A22" s="354"/>
      <c r="B22" s="342" t="s">
        <v>462</v>
      </c>
      <c r="C22" s="343" t="s">
        <v>205</v>
      </c>
      <c r="D22" s="86"/>
      <c r="E22" s="86"/>
      <c r="F22" s="87">
        <f>F23/P23</f>
        <v>0.56435597890962941</v>
      </c>
      <c r="G22" s="87">
        <f>G23/P23</f>
        <v>0.43564402109037054</v>
      </c>
      <c r="H22" s="87"/>
      <c r="I22" s="87"/>
      <c r="J22" s="87"/>
      <c r="K22" s="87"/>
      <c r="L22" s="87"/>
      <c r="M22" s="87"/>
      <c r="N22" s="87"/>
      <c r="O22" s="87"/>
      <c r="P22" s="88">
        <f>P23/$P$73</f>
        <v>1.8226844652752087E-2</v>
      </c>
      <c r="Q22" s="89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</row>
    <row r="23" spans="1:29" ht="15" customHeight="1">
      <c r="A23" s="354"/>
      <c r="B23" s="342"/>
      <c r="C23" s="343"/>
      <c r="D23" s="95"/>
      <c r="E23" s="95"/>
      <c r="F23" s="97">
        <v>6973.38</v>
      </c>
      <c r="G23" s="97">
        <v>5382.97</v>
      </c>
      <c r="H23" s="97"/>
      <c r="I23" s="97"/>
      <c r="J23" s="96"/>
      <c r="K23" s="96"/>
      <c r="L23" s="96"/>
      <c r="M23" s="96"/>
      <c r="N23" s="96"/>
      <c r="O23" s="96"/>
      <c r="P23" s="91">
        <f>SUM(D23:K23)</f>
        <v>12356.35</v>
      </c>
      <c r="Q23" s="92"/>
      <c r="R23" s="244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</row>
    <row r="24" spans="1:29" ht="15" customHeight="1">
      <c r="A24" s="354"/>
      <c r="B24" s="357" t="s">
        <v>464</v>
      </c>
      <c r="C24" s="343" t="s">
        <v>30</v>
      </c>
      <c r="D24" s="86"/>
      <c r="E24" s="87"/>
      <c r="F24" s="87"/>
      <c r="G24" s="87">
        <f>G25/P25</f>
        <v>0.52963760583411312</v>
      </c>
      <c r="H24" s="87">
        <f>H25/P25</f>
        <v>0.47036239416588693</v>
      </c>
      <c r="I24" s="87"/>
      <c r="J24" s="87"/>
      <c r="K24" s="87"/>
      <c r="L24" s="87"/>
      <c r="M24" s="87"/>
      <c r="N24" s="87"/>
      <c r="O24" s="87"/>
      <c r="P24" s="88">
        <f>P25/$P$73</f>
        <v>1.819237157943069E-2</v>
      </c>
      <c r="Q24" s="89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</row>
    <row r="25" spans="1:29" ht="15" customHeight="1">
      <c r="A25" s="354"/>
      <c r="B25" s="342"/>
      <c r="C25" s="343"/>
      <c r="D25" s="95"/>
      <c r="E25" s="97"/>
      <c r="F25" s="97"/>
      <c r="G25" s="97">
        <v>6532.01</v>
      </c>
      <c r="H25" s="97">
        <v>5800.97</v>
      </c>
      <c r="I25" s="97"/>
      <c r="J25" s="97"/>
      <c r="K25" s="97"/>
      <c r="L25" s="96"/>
      <c r="M25" s="96"/>
      <c r="N25" s="96"/>
      <c r="O25" s="96"/>
      <c r="P25" s="91">
        <f>SUM(D25:O25)</f>
        <v>12332.98</v>
      </c>
      <c r="Q25" s="92"/>
      <c r="R25" s="93"/>
      <c r="S25" s="244"/>
      <c r="T25" s="93"/>
      <c r="U25" s="93"/>
      <c r="V25" s="93"/>
      <c r="W25" s="93"/>
      <c r="X25" s="93"/>
      <c r="Y25" s="93"/>
      <c r="Z25" s="93"/>
      <c r="AA25" s="93"/>
      <c r="AB25" s="93"/>
      <c r="AC25" s="93"/>
    </row>
    <row r="26" spans="1:29" ht="15" customHeight="1">
      <c r="A26" s="354"/>
      <c r="B26" s="342" t="s">
        <v>465</v>
      </c>
      <c r="C26" s="343" t="s">
        <v>107</v>
      </c>
      <c r="D26" s="86"/>
      <c r="E26" s="87"/>
      <c r="F26" s="87"/>
      <c r="G26" s="87"/>
      <c r="H26" s="87">
        <f>H27/P27</f>
        <v>0.50303949084981681</v>
      </c>
      <c r="I26" s="87"/>
      <c r="J26" s="87">
        <f>J27/P27</f>
        <v>0.49696050915018314</v>
      </c>
      <c r="K26" s="87"/>
      <c r="L26" s="250"/>
      <c r="M26" s="87"/>
      <c r="N26" s="87"/>
      <c r="O26" s="87"/>
      <c r="P26" s="88">
        <f>P27/$P$73</f>
        <v>2.6514985734092299E-2</v>
      </c>
      <c r="Q26" s="89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</row>
    <row r="27" spans="1:29" ht="15" customHeight="1">
      <c r="A27" s="354"/>
      <c r="B27" s="342"/>
      <c r="C27" s="343"/>
      <c r="D27" s="95"/>
      <c r="E27" s="96"/>
      <c r="F27" s="96"/>
      <c r="G27" s="98"/>
      <c r="H27" s="97">
        <v>9042.16</v>
      </c>
      <c r="I27" s="253"/>
      <c r="J27" s="97">
        <v>8932.89</v>
      </c>
      <c r="K27" s="99"/>
      <c r="L27" s="98"/>
      <c r="M27" s="98"/>
      <c r="N27" s="97"/>
      <c r="O27" s="137"/>
      <c r="P27" s="91">
        <f>SUM(E27:O27)</f>
        <v>17975.05</v>
      </c>
      <c r="Q27" s="92"/>
      <c r="R27" s="244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</row>
    <row r="28" spans="1:29" ht="15" customHeight="1">
      <c r="A28" s="354"/>
      <c r="B28" s="342" t="s">
        <v>466</v>
      </c>
      <c r="C28" s="343" t="s">
        <v>15</v>
      </c>
      <c r="D28" s="86"/>
      <c r="E28" s="87"/>
      <c r="F28" s="87"/>
      <c r="G28" s="87"/>
      <c r="H28" s="87"/>
      <c r="I28" s="87">
        <f>I29/P29</f>
        <v>0.49167744388117962</v>
      </c>
      <c r="J28" s="87"/>
      <c r="K28" s="87">
        <f>K29/P27</f>
        <v>0.46641483612006646</v>
      </c>
      <c r="L28" s="87"/>
      <c r="M28" s="87"/>
      <c r="N28" s="87"/>
      <c r="O28" s="87"/>
      <c r="P28" s="88">
        <f>P29/$P$73</f>
        <v>2.4329006409469223E-2</v>
      </c>
      <c r="Q28" s="89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</row>
    <row r="29" spans="1:29" ht="15" customHeight="1">
      <c r="A29" s="354"/>
      <c r="B29" s="342"/>
      <c r="C29" s="343"/>
      <c r="D29" s="95"/>
      <c r="E29" s="96"/>
      <c r="F29" s="96"/>
      <c r="G29" s="96"/>
      <c r="H29" s="96"/>
      <c r="I29" s="98">
        <v>8109.3</v>
      </c>
      <c r="J29" s="98"/>
      <c r="K29" s="99">
        <v>8383.83</v>
      </c>
      <c r="L29" s="98"/>
      <c r="M29" s="98"/>
      <c r="N29" s="98"/>
      <c r="O29" s="99"/>
      <c r="P29" s="91">
        <f>SUM(D29:O29)</f>
        <v>16493.13</v>
      </c>
      <c r="Q29" s="92"/>
      <c r="R29" s="244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</row>
    <row r="30" spans="1:29" ht="15" customHeight="1">
      <c r="A30" s="354"/>
      <c r="B30" s="358" t="s">
        <v>467</v>
      </c>
      <c r="C30" s="343" t="s">
        <v>480</v>
      </c>
      <c r="D30" s="86"/>
      <c r="E30" s="87"/>
      <c r="F30" s="87"/>
      <c r="G30" s="87"/>
      <c r="H30" s="87"/>
      <c r="I30" s="87"/>
      <c r="J30" s="87"/>
      <c r="K30" s="87"/>
      <c r="L30" s="87">
        <f>L31/P31</f>
        <v>1</v>
      </c>
      <c r="M30" s="87"/>
      <c r="N30" s="87"/>
      <c r="O30" s="87"/>
      <c r="P30" s="88">
        <f>P31/$P$73</f>
        <v>1.6729338477949059E-2</v>
      </c>
      <c r="Q30" s="89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</row>
    <row r="31" spans="1:29" ht="15" customHeight="1">
      <c r="A31" s="354"/>
      <c r="B31" s="357"/>
      <c r="C31" s="343"/>
      <c r="D31" s="95"/>
      <c r="E31" s="97"/>
      <c r="F31" s="97"/>
      <c r="G31" s="97"/>
      <c r="H31" s="97"/>
      <c r="I31" s="97"/>
      <c r="J31" s="97"/>
      <c r="K31" s="99"/>
      <c r="L31" s="99">
        <v>11341.16</v>
      </c>
      <c r="M31" s="99"/>
      <c r="N31" s="99"/>
      <c r="O31" s="97"/>
      <c r="P31" s="91">
        <f>SUM(D31:O31)</f>
        <v>11341.16</v>
      </c>
      <c r="Q31" s="92"/>
      <c r="R31" s="244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</row>
    <row r="32" spans="1:29" ht="15" customHeight="1">
      <c r="A32" s="354"/>
      <c r="B32" s="358" t="s">
        <v>469</v>
      </c>
      <c r="C32" s="343" t="s">
        <v>58</v>
      </c>
      <c r="D32" s="86"/>
      <c r="E32" s="87"/>
      <c r="F32" s="87"/>
      <c r="G32" s="87"/>
      <c r="H32" s="87"/>
      <c r="I32" s="87"/>
      <c r="J32" s="87">
        <f>J33/P33</f>
        <v>0.17511036726250978</v>
      </c>
      <c r="K32" s="87">
        <f>K33/P33</f>
        <v>0.13305388062248918</v>
      </c>
      <c r="L32" s="87"/>
      <c r="M32" s="87">
        <f>M33/P33</f>
        <v>0.4460409167679269</v>
      </c>
      <c r="N32" s="87">
        <f>N33/P33</f>
        <v>0.24579483534707414</v>
      </c>
      <c r="O32" s="87"/>
      <c r="P32" s="88">
        <f>P33/$P$73</f>
        <v>5.7905470053630642E-2</v>
      </c>
      <c r="Q32" s="89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</row>
    <row r="33" spans="1:29" ht="15" customHeight="1">
      <c r="A33" s="354"/>
      <c r="B33" s="357"/>
      <c r="C33" s="343"/>
      <c r="D33" s="95"/>
      <c r="E33" s="96"/>
      <c r="F33" s="96"/>
      <c r="G33" s="96"/>
      <c r="H33" s="96"/>
      <c r="I33" s="96"/>
      <c r="J33" s="98">
        <v>6874.01</v>
      </c>
      <c r="K33" s="98">
        <v>5223.07</v>
      </c>
      <c r="L33" s="98"/>
      <c r="M33" s="99">
        <v>17509.47</v>
      </c>
      <c r="N33" s="99">
        <v>9648.75</v>
      </c>
      <c r="O33" s="99"/>
      <c r="P33" s="91">
        <f>SUM(H33:O33)</f>
        <v>39255.300000000003</v>
      </c>
      <c r="Q33" s="92"/>
      <c r="R33" s="244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</row>
    <row r="34" spans="1:29" ht="15" customHeight="1">
      <c r="A34" s="354"/>
      <c r="B34" s="342" t="s">
        <v>470</v>
      </c>
      <c r="C34" s="343" t="s">
        <v>59</v>
      </c>
      <c r="D34" s="86"/>
      <c r="E34" s="87"/>
      <c r="F34" s="87">
        <f>F35/P35</f>
        <v>1</v>
      </c>
      <c r="G34" s="87"/>
      <c r="H34" s="87"/>
      <c r="I34" s="87"/>
      <c r="J34" s="87"/>
      <c r="K34" s="87"/>
      <c r="L34" s="87"/>
      <c r="M34" s="87"/>
      <c r="N34" s="87"/>
      <c r="O34" s="87"/>
      <c r="P34" s="88">
        <f>P35/$P$73</f>
        <v>8.3340166731371915E-4</v>
      </c>
      <c r="Q34" s="89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</row>
    <row r="35" spans="1:29" ht="15" customHeight="1">
      <c r="A35" s="354"/>
      <c r="B35" s="342"/>
      <c r="C35" s="343"/>
      <c r="D35" s="95"/>
      <c r="E35" s="97"/>
      <c r="F35" s="97">
        <v>564.98</v>
      </c>
      <c r="G35" s="97"/>
      <c r="H35" s="97"/>
      <c r="I35" s="97"/>
      <c r="J35" s="97"/>
      <c r="K35" s="97"/>
      <c r="L35" s="97"/>
      <c r="M35" s="97"/>
      <c r="N35" s="97"/>
      <c r="O35" s="97"/>
      <c r="P35" s="91">
        <f>SUM(D35:O35)</f>
        <v>564.98</v>
      </c>
      <c r="Q35" s="92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</row>
    <row r="36" spans="1:29" ht="15" customHeight="1">
      <c r="A36" s="354"/>
      <c r="B36" s="342" t="s">
        <v>471</v>
      </c>
      <c r="C36" s="343" t="s">
        <v>468</v>
      </c>
      <c r="D36" s="86"/>
      <c r="E36" s="87"/>
      <c r="F36" s="87"/>
      <c r="G36" s="87"/>
      <c r="H36" s="87">
        <f>H37/P37</f>
        <v>0.41452528711517767</v>
      </c>
      <c r="I36" s="87">
        <f>I37/P37</f>
        <v>0.32900455459079747</v>
      </c>
      <c r="J36" s="87">
        <f>J37/P37</f>
        <v>0.25647015829402492</v>
      </c>
      <c r="K36" s="87"/>
      <c r="L36" s="87"/>
      <c r="M36" s="87"/>
      <c r="N36" s="87"/>
      <c r="O36" s="87"/>
      <c r="P36" s="88">
        <f>P37/$P$73</f>
        <v>4.3593022962680826E-2</v>
      </c>
      <c r="Q36" s="89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</row>
    <row r="37" spans="1:29" ht="15" customHeight="1">
      <c r="A37" s="354"/>
      <c r="B37" s="342"/>
      <c r="C37" s="343"/>
      <c r="D37" s="95"/>
      <c r="E37" s="96"/>
      <c r="F37" s="96"/>
      <c r="G37" s="96"/>
      <c r="H37" s="98">
        <v>12250.3</v>
      </c>
      <c r="I37" s="99">
        <v>9722.94</v>
      </c>
      <c r="J37" s="99">
        <v>7579.36</v>
      </c>
      <c r="K37" s="99"/>
      <c r="L37" s="98"/>
      <c r="M37" s="100"/>
      <c r="N37" s="100"/>
      <c r="O37" s="100"/>
      <c r="P37" s="101">
        <f>SUM(D37:O37)</f>
        <v>29552.6</v>
      </c>
      <c r="Q37" s="92"/>
      <c r="R37" s="244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</row>
    <row r="38" spans="1:29" ht="15" customHeight="1">
      <c r="A38" s="354"/>
      <c r="B38" s="342" t="s">
        <v>472</v>
      </c>
      <c r="C38" s="343" t="s">
        <v>28</v>
      </c>
      <c r="D38" s="86"/>
      <c r="E38" s="87"/>
      <c r="F38" s="87"/>
      <c r="G38" s="87"/>
      <c r="H38" s="87"/>
      <c r="I38" s="87"/>
      <c r="J38" s="87">
        <f>J39/P39</f>
        <v>0.62919059085015738</v>
      </c>
      <c r="K38" s="102">
        <f>K39/P39</f>
        <v>0.37080940914984256</v>
      </c>
      <c r="L38" s="102"/>
      <c r="M38" s="102"/>
      <c r="N38" s="87"/>
      <c r="O38" s="102"/>
      <c r="P38" s="88">
        <f>P39/$P$73</f>
        <v>1.8078420149645592E-2</v>
      </c>
      <c r="Q38" s="89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</row>
    <row r="39" spans="1:29" ht="15" customHeight="1">
      <c r="A39" s="354"/>
      <c r="B39" s="342"/>
      <c r="C39" s="343"/>
      <c r="D39" s="103"/>
      <c r="E39" s="96"/>
      <c r="F39" s="96"/>
      <c r="G39" s="96"/>
      <c r="H39" s="96"/>
      <c r="I39" s="104"/>
      <c r="J39" s="99">
        <v>7711.19</v>
      </c>
      <c r="K39" s="105">
        <v>4544.54</v>
      </c>
      <c r="L39" s="105"/>
      <c r="M39" s="105"/>
      <c r="N39" s="99"/>
      <c r="O39" s="105"/>
      <c r="P39" s="91">
        <f>SUM(D39:O39)</f>
        <v>12255.73</v>
      </c>
      <c r="Q39" s="89"/>
      <c r="R39" s="244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</row>
    <row r="40" spans="1:29" ht="15" customHeight="1">
      <c r="A40" s="354"/>
      <c r="B40" s="342" t="s">
        <v>473</v>
      </c>
      <c r="C40" s="343" t="s">
        <v>67</v>
      </c>
      <c r="D40" s="86"/>
      <c r="E40" s="87"/>
      <c r="F40" s="87"/>
      <c r="G40" s="87"/>
      <c r="H40" s="87"/>
      <c r="I40" s="87"/>
      <c r="J40" s="87"/>
      <c r="K40" s="87"/>
      <c r="L40" s="106"/>
      <c r="M40" s="106"/>
      <c r="N40" s="106"/>
      <c r="O40" s="106">
        <f>O41/P41</f>
        <v>1</v>
      </c>
      <c r="P40" s="107">
        <f>P41/$P$73</f>
        <v>4.1521983384450699E-3</v>
      </c>
      <c r="Q40" s="89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</row>
    <row r="41" spans="1:29" ht="15" customHeight="1">
      <c r="A41" s="354"/>
      <c r="B41" s="342"/>
      <c r="C41" s="343"/>
      <c r="D41" s="108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>
        <v>2814.86</v>
      </c>
      <c r="P41" s="109">
        <f>SUM(D41:O41)</f>
        <v>2814.86</v>
      </c>
      <c r="Q41" s="89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</row>
    <row r="42" spans="1:29" ht="15" customHeight="1">
      <c r="A42" s="354"/>
      <c r="B42" s="342" t="s">
        <v>474</v>
      </c>
      <c r="C42" s="343" t="s">
        <v>196</v>
      </c>
      <c r="D42" s="86"/>
      <c r="E42" s="87"/>
      <c r="F42" s="87">
        <f>F43/P43</f>
        <v>0.4602669649775975</v>
      </c>
      <c r="G42" s="87"/>
      <c r="H42" s="87"/>
      <c r="I42" s="87"/>
      <c r="J42" s="87">
        <f>J43/P43</f>
        <v>0.53973303502240244</v>
      </c>
      <c r="K42" s="87"/>
      <c r="L42" s="87"/>
      <c r="M42" s="87"/>
      <c r="N42" s="87"/>
      <c r="O42" s="87"/>
      <c r="P42" s="110">
        <f>P43/$P$73</f>
        <v>1.7722301648950209E-2</v>
      </c>
      <c r="Q42" s="89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</row>
    <row r="43" spans="1:29" ht="15" customHeight="1">
      <c r="A43" s="354"/>
      <c r="B43" s="342"/>
      <c r="C43" s="343"/>
      <c r="D43" s="90"/>
      <c r="E43" s="97"/>
      <c r="F43" s="97">
        <v>5529.79</v>
      </c>
      <c r="G43" s="97"/>
      <c r="H43" s="97"/>
      <c r="I43" s="97"/>
      <c r="J43" s="97">
        <v>6484.52</v>
      </c>
      <c r="K43" s="97"/>
      <c r="L43" s="97"/>
      <c r="M43" s="97"/>
      <c r="N43" s="97"/>
      <c r="O43" s="97"/>
      <c r="P43" s="109">
        <f>SUM(E43:O43)</f>
        <v>12014.310000000001</v>
      </c>
      <c r="Q43" s="89"/>
      <c r="R43" s="244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</row>
    <row r="44" spans="1:29" ht="15" customHeight="1">
      <c r="A44" s="354"/>
      <c r="B44" s="342" t="s">
        <v>475</v>
      </c>
      <c r="C44" s="343" t="s">
        <v>76</v>
      </c>
      <c r="D44" s="86"/>
      <c r="E44" s="87"/>
      <c r="F44" s="87">
        <f>F45/P45</f>
        <v>0.58900946740999316</v>
      </c>
      <c r="G44" s="87"/>
      <c r="H44" s="87"/>
      <c r="I44" s="87"/>
      <c r="J44" s="87">
        <f>J45/P45</f>
        <v>0.4109905325900069</v>
      </c>
      <c r="K44" s="87"/>
      <c r="L44" s="87"/>
      <c r="M44" s="87"/>
      <c r="N44" s="87"/>
      <c r="O44" s="87"/>
      <c r="P44" s="88">
        <f>P45/$P$73</f>
        <v>2.6398570888284657E-2</v>
      </c>
      <c r="Q44" s="89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</row>
    <row r="45" spans="1:29" ht="15" customHeight="1">
      <c r="A45" s="354"/>
      <c r="B45" s="342"/>
      <c r="C45" s="343"/>
      <c r="D45" s="90"/>
      <c r="E45" s="97"/>
      <c r="F45" s="97">
        <v>10540.99</v>
      </c>
      <c r="G45" s="97"/>
      <c r="H45" s="97"/>
      <c r="I45" s="97"/>
      <c r="J45" s="97">
        <f>1868.36+4017+469.78+1000</f>
        <v>7355.1399999999994</v>
      </c>
      <c r="K45" s="97"/>
      <c r="L45" s="97"/>
      <c r="M45" s="97"/>
      <c r="N45" s="97"/>
      <c r="O45" s="97"/>
      <c r="P45" s="91">
        <f>SUM(F45:O45)</f>
        <v>17896.129999999997</v>
      </c>
      <c r="Q45" s="89"/>
      <c r="R45" s="94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</row>
    <row r="46" spans="1:29" ht="15" customHeight="1">
      <c r="A46" s="354"/>
      <c r="B46" s="342" t="s">
        <v>481</v>
      </c>
      <c r="C46" s="343" t="s">
        <v>125</v>
      </c>
      <c r="D46" s="86"/>
      <c r="E46" s="87"/>
      <c r="F46" s="87"/>
      <c r="G46" s="87"/>
      <c r="H46" s="87"/>
      <c r="I46" s="87"/>
      <c r="J46" s="87"/>
      <c r="K46" s="87"/>
      <c r="L46" s="87"/>
      <c r="M46" s="87">
        <f>M47/P47</f>
        <v>0.11478647063858562</v>
      </c>
      <c r="N46" s="87">
        <f>N47/P47</f>
        <v>0.45654022861163768</v>
      </c>
      <c r="O46" s="87">
        <f>O47/P47</f>
        <v>0.42867330074977683</v>
      </c>
      <c r="P46" s="88">
        <f>P47/$P$73</f>
        <v>5.1527774477242841E-2</v>
      </c>
      <c r="Q46" s="89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</row>
    <row r="47" spans="1:29" ht="15" customHeight="1">
      <c r="A47" s="354"/>
      <c r="B47" s="342"/>
      <c r="C47" s="343"/>
      <c r="D47" s="90"/>
      <c r="E47" s="97"/>
      <c r="F47" s="97"/>
      <c r="G47" s="97"/>
      <c r="H47" s="97"/>
      <c r="I47" s="97"/>
      <c r="J47" s="97"/>
      <c r="K47" s="97"/>
      <c r="L47" s="97"/>
      <c r="M47" s="97">
        <v>4009.69</v>
      </c>
      <c r="N47" s="97">
        <v>15947.74</v>
      </c>
      <c r="O47" s="97">
        <v>14974.3</v>
      </c>
      <c r="P47" s="91">
        <f>SUM(I47:O47)</f>
        <v>34931.729999999996</v>
      </c>
      <c r="Q47" s="89"/>
      <c r="R47" s="94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</row>
    <row r="48" spans="1:29" ht="15" customHeight="1">
      <c r="A48" s="354"/>
      <c r="B48" s="358" t="s">
        <v>482</v>
      </c>
      <c r="C48" s="359" t="s">
        <v>439</v>
      </c>
      <c r="D48" s="111"/>
      <c r="E48" s="112"/>
      <c r="F48" s="112"/>
      <c r="G48" s="112"/>
      <c r="H48" s="113"/>
      <c r="I48" s="112"/>
      <c r="J48" s="112"/>
      <c r="K48" s="112"/>
      <c r="L48" s="112"/>
      <c r="M48" s="112"/>
      <c r="N48" s="112"/>
      <c r="O48" s="251">
        <f>O49/P49</f>
        <v>1</v>
      </c>
      <c r="P48" s="88">
        <f>P49/$P$73</f>
        <v>3.3301519864256633E-2</v>
      </c>
      <c r="Q48" s="89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3"/>
    </row>
    <row r="49" spans="1:29" ht="15" customHeight="1">
      <c r="A49" s="354"/>
      <c r="B49" s="357"/>
      <c r="C49" s="360"/>
      <c r="D49" s="114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>
        <v>22575.78</v>
      </c>
      <c r="P49" s="91">
        <f>SUM(D49:O49)</f>
        <v>22575.78</v>
      </c>
      <c r="Q49" s="89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</row>
    <row r="50" spans="1:29" ht="15" customHeight="1">
      <c r="A50" s="354"/>
      <c r="B50" s="342" t="s">
        <v>483</v>
      </c>
      <c r="C50" s="343" t="s">
        <v>29</v>
      </c>
      <c r="D50" s="86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>
        <f>O51/P51</f>
        <v>1</v>
      </c>
      <c r="P50" s="88">
        <f>P51/$P$73</f>
        <v>1.2741171194417943E-3</v>
      </c>
      <c r="Q50" s="89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</row>
    <row r="51" spans="1:29" ht="15" customHeight="1" thickBot="1">
      <c r="A51" s="354"/>
      <c r="B51" s="342"/>
      <c r="C51" s="359"/>
      <c r="D51" s="114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>
        <v>863.75</v>
      </c>
      <c r="P51" s="91">
        <f>SUM(D51:O51)</f>
        <v>863.75</v>
      </c>
      <c r="Q51" s="89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</row>
    <row r="52" spans="1:29" ht="15" customHeight="1">
      <c r="A52" s="353" t="s">
        <v>463</v>
      </c>
      <c r="B52" s="357" t="s">
        <v>460</v>
      </c>
      <c r="C52" s="343" t="s">
        <v>479</v>
      </c>
      <c r="D52" s="86">
        <f>D53/P53</f>
        <v>1</v>
      </c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8">
        <f>P53/P73</f>
        <v>3.0328929025753926E-3</v>
      </c>
      <c r="Q52" s="89"/>
      <c r="R52" s="93"/>
      <c r="S52" s="93"/>
      <c r="T52" s="93"/>
      <c r="U52" s="93"/>
      <c r="V52" s="93"/>
      <c r="W52" s="93"/>
      <c r="X52" s="93"/>
      <c r="Y52" s="93"/>
      <c r="Z52" s="93"/>
      <c r="AA52" s="93"/>
      <c r="AB52" s="93"/>
      <c r="AC52" s="93"/>
    </row>
    <row r="53" spans="1:29" ht="15" customHeight="1">
      <c r="A53" s="354"/>
      <c r="B53" s="342"/>
      <c r="C53" s="359"/>
      <c r="D53" s="114">
        <v>2056.06</v>
      </c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91">
        <f>SUM(D53:O53)</f>
        <v>2056.06</v>
      </c>
      <c r="Q53" s="89"/>
      <c r="R53" s="93"/>
      <c r="S53" s="93"/>
      <c r="T53" s="93"/>
      <c r="U53" s="93"/>
      <c r="V53" s="93"/>
      <c r="W53" s="93"/>
      <c r="X53" s="93"/>
      <c r="Y53" s="93"/>
      <c r="Z53" s="93"/>
      <c r="AA53" s="93"/>
      <c r="AB53" s="93"/>
      <c r="AC53" s="93"/>
    </row>
    <row r="54" spans="1:29" ht="15" customHeight="1">
      <c r="A54" s="354"/>
      <c r="B54" s="342" t="s">
        <v>461</v>
      </c>
      <c r="C54" s="343" t="s">
        <v>56</v>
      </c>
      <c r="D54" s="86"/>
      <c r="E54" s="87">
        <f>E55/P55</f>
        <v>1</v>
      </c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8">
        <f>P55/P73</f>
        <v>8.196979937512134E-3</v>
      </c>
      <c r="Q54" s="89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</row>
    <row r="55" spans="1:29" ht="15" customHeight="1">
      <c r="A55" s="354"/>
      <c r="B55" s="342"/>
      <c r="C55" s="359"/>
      <c r="D55" s="114"/>
      <c r="E55" s="115">
        <v>5556.9</v>
      </c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91">
        <f>SUM(D55:O55)</f>
        <v>5556.9</v>
      </c>
      <c r="Q55" s="89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93"/>
    </row>
    <row r="56" spans="1:29" ht="15" customHeight="1">
      <c r="A56" s="354"/>
      <c r="B56" s="342" t="s">
        <v>462</v>
      </c>
      <c r="C56" s="343" t="s">
        <v>563</v>
      </c>
      <c r="D56" s="86"/>
      <c r="E56" s="87"/>
      <c r="F56" s="87">
        <f>F57/P57</f>
        <v>1</v>
      </c>
      <c r="G56" s="87"/>
      <c r="H56" s="87"/>
      <c r="I56" s="87"/>
      <c r="J56" s="87"/>
      <c r="K56" s="87"/>
      <c r="L56" s="87"/>
      <c r="M56" s="87"/>
      <c r="N56" s="87"/>
      <c r="O56" s="87"/>
      <c r="P56" s="88">
        <f>P57/P73</f>
        <v>2.4001932616249156E-2</v>
      </c>
      <c r="Q56" s="89"/>
      <c r="R56" s="93"/>
      <c r="S56" s="93"/>
      <c r="T56" s="93"/>
      <c r="U56" s="93"/>
      <c r="V56" s="93"/>
      <c r="W56" s="93"/>
      <c r="X56" s="93"/>
      <c r="Y56" s="93"/>
      <c r="Z56" s="93"/>
      <c r="AA56" s="93"/>
      <c r="AB56" s="93"/>
      <c r="AC56" s="93"/>
    </row>
    <row r="57" spans="1:29" ht="15" customHeight="1">
      <c r="A57" s="354"/>
      <c r="B57" s="342"/>
      <c r="C57" s="359"/>
      <c r="D57" s="114"/>
      <c r="E57" s="115"/>
      <c r="F57" s="115">
        <v>16271.4</v>
      </c>
      <c r="G57" s="115"/>
      <c r="H57" s="115"/>
      <c r="I57" s="115"/>
      <c r="J57" s="115"/>
      <c r="K57" s="115"/>
      <c r="L57" s="115"/>
      <c r="M57" s="115"/>
      <c r="N57" s="115"/>
      <c r="O57" s="115"/>
      <c r="P57" s="91">
        <f>SUM(D57:O57)</f>
        <v>16271.4</v>
      </c>
      <c r="Q57" s="89"/>
      <c r="R57" s="93"/>
      <c r="S57" s="93"/>
      <c r="T57" s="93"/>
      <c r="U57" s="93"/>
      <c r="V57" s="93"/>
      <c r="W57" s="93"/>
      <c r="X57" s="93"/>
      <c r="Y57" s="93"/>
      <c r="Z57" s="93"/>
      <c r="AA57" s="93"/>
      <c r="AB57" s="93"/>
      <c r="AC57" s="93"/>
    </row>
    <row r="58" spans="1:29" ht="15" customHeight="1">
      <c r="A58" s="354"/>
      <c r="B58" s="357" t="s">
        <v>464</v>
      </c>
      <c r="C58" s="343" t="s">
        <v>564</v>
      </c>
      <c r="D58" s="86"/>
      <c r="E58" s="87"/>
      <c r="F58" s="87"/>
      <c r="G58" s="87">
        <f>G59/P59</f>
        <v>0.16460599554873739</v>
      </c>
      <c r="H58" s="87">
        <f>H59/P59</f>
        <v>0.14657962448668663</v>
      </c>
      <c r="I58" s="87">
        <f>I59/P59</f>
        <v>0.17751289472686535</v>
      </c>
      <c r="J58" s="87">
        <f>J59/P59</f>
        <v>0.14581416352563939</v>
      </c>
      <c r="K58" s="87">
        <f>K59/P59</f>
        <v>0.15025610672886722</v>
      </c>
      <c r="L58" s="87">
        <f>L59/P59</f>
        <v>0.21523121498320413</v>
      </c>
      <c r="M58" s="87"/>
      <c r="N58" s="87"/>
      <c r="O58" s="87"/>
      <c r="P58" s="88">
        <f>P59/P73</f>
        <v>0.2326748356787193</v>
      </c>
      <c r="Q58" s="89"/>
      <c r="R58" s="93"/>
      <c r="S58" s="93"/>
      <c r="T58" s="93"/>
      <c r="U58" s="93"/>
      <c r="V58" s="93"/>
      <c r="W58" s="93"/>
      <c r="X58" s="93"/>
      <c r="Y58" s="93"/>
      <c r="Z58" s="93"/>
      <c r="AA58" s="93"/>
      <c r="AB58" s="93"/>
      <c r="AC58" s="93"/>
    </row>
    <row r="59" spans="1:29" ht="15" customHeight="1">
      <c r="A59" s="354"/>
      <c r="B59" s="342"/>
      <c r="C59" s="359"/>
      <c r="D59" s="114"/>
      <c r="E59" s="115"/>
      <c r="F59" s="115"/>
      <c r="G59" s="115">
        <f>13065.09+6000+1364.04+5535</f>
        <v>25964.13</v>
      </c>
      <c r="H59" s="115">
        <f>16000+6000+1120.74</f>
        <v>23120.74</v>
      </c>
      <c r="I59" s="115">
        <f>25000+3000</f>
        <v>28000</v>
      </c>
      <c r="J59" s="115">
        <f>20000+3000</f>
        <v>23000</v>
      </c>
      <c r="K59" s="115">
        <f>20000.65+3700</f>
        <v>23700.65</v>
      </c>
      <c r="L59" s="115">
        <f>25658.36+5092.55+3000+198.6-0.01</f>
        <v>33949.5</v>
      </c>
      <c r="M59" s="115"/>
      <c r="N59" s="115"/>
      <c r="O59" s="115"/>
      <c r="P59" s="91">
        <f>SUM(D59:O59)</f>
        <v>157735.01999999999</v>
      </c>
      <c r="Q59" s="89"/>
      <c r="R59" s="94"/>
      <c r="S59" s="93"/>
      <c r="T59" s="93"/>
      <c r="U59" s="93"/>
      <c r="V59" s="93"/>
      <c r="W59" s="93"/>
      <c r="X59" s="93"/>
      <c r="Y59" s="93"/>
      <c r="Z59" s="93"/>
      <c r="AA59" s="93"/>
      <c r="AB59" s="93"/>
      <c r="AC59" s="93"/>
    </row>
    <row r="60" spans="1:29" ht="15" customHeight="1">
      <c r="A60" s="354"/>
      <c r="B60" s="342" t="s">
        <v>465</v>
      </c>
      <c r="C60" s="343" t="s">
        <v>565</v>
      </c>
      <c r="D60" s="86"/>
      <c r="E60" s="87"/>
      <c r="F60" s="87"/>
      <c r="G60" s="87"/>
      <c r="H60" s="87"/>
      <c r="I60" s="87"/>
      <c r="J60" s="87"/>
      <c r="K60" s="87"/>
      <c r="L60" s="87"/>
      <c r="M60" s="87"/>
      <c r="N60" s="87">
        <f>N61/P61</f>
        <v>1</v>
      </c>
      <c r="O60" s="87"/>
      <c r="P60" s="88">
        <f>P61/P73</f>
        <v>4.1579807281506696E-2</v>
      </c>
      <c r="Q60" s="89"/>
      <c r="R60" s="93"/>
      <c r="S60" s="93"/>
      <c r="T60" s="93"/>
      <c r="U60" s="93"/>
      <c r="V60" s="93"/>
      <c r="W60" s="93"/>
      <c r="X60" s="93"/>
      <c r="Y60" s="93"/>
      <c r="Z60" s="93"/>
      <c r="AA60" s="93"/>
      <c r="AB60" s="93"/>
      <c r="AC60" s="93"/>
    </row>
    <row r="61" spans="1:29" ht="15" customHeight="1">
      <c r="A61" s="354"/>
      <c r="B61" s="342"/>
      <c r="C61" s="359"/>
      <c r="D61" s="114"/>
      <c r="E61" s="115"/>
      <c r="F61" s="115"/>
      <c r="G61" s="115"/>
      <c r="H61" s="115"/>
      <c r="I61" s="115"/>
      <c r="J61" s="115"/>
      <c r="K61" s="115"/>
      <c r="L61" s="115"/>
      <c r="M61" s="115"/>
      <c r="N61" s="115">
        <v>28187.8</v>
      </c>
      <c r="O61" s="115"/>
      <c r="P61" s="91">
        <f>SUM(D61:O61)</f>
        <v>28187.8</v>
      </c>
      <c r="Q61" s="89"/>
      <c r="R61" s="94"/>
      <c r="S61" s="93"/>
      <c r="T61" s="93"/>
      <c r="U61" s="93"/>
      <c r="V61" s="93"/>
      <c r="W61" s="93"/>
      <c r="X61" s="93"/>
      <c r="Y61" s="93"/>
      <c r="Z61" s="93"/>
      <c r="AA61" s="93"/>
      <c r="AB61" s="93"/>
      <c r="AC61" s="93"/>
    </row>
    <row r="62" spans="1:29" ht="15" customHeight="1">
      <c r="A62" s="354"/>
      <c r="B62" s="342" t="s">
        <v>466</v>
      </c>
      <c r="C62" s="343" t="s">
        <v>570</v>
      </c>
      <c r="D62" s="86"/>
      <c r="E62" s="87"/>
      <c r="F62" s="87"/>
      <c r="G62" s="87"/>
      <c r="H62" s="87"/>
      <c r="I62" s="87"/>
      <c r="J62" s="87"/>
      <c r="K62" s="87"/>
      <c r="L62" s="87"/>
      <c r="M62" s="87"/>
      <c r="N62" s="87">
        <f>N63/P63</f>
        <v>0.54464138842261844</v>
      </c>
      <c r="O62" s="87">
        <f>O63/P63</f>
        <v>0.4553586115773815</v>
      </c>
      <c r="P62" s="88">
        <f>P63/P73</f>
        <v>3.3358547207628701E-2</v>
      </c>
      <c r="Q62" s="89"/>
      <c r="R62" s="93"/>
      <c r="S62" s="93"/>
      <c r="T62" s="93"/>
      <c r="U62" s="93"/>
      <c r="V62" s="93"/>
      <c r="W62" s="93"/>
      <c r="X62" s="93"/>
      <c r="Y62" s="93"/>
      <c r="Z62" s="93"/>
      <c r="AA62" s="93"/>
      <c r="AB62" s="93"/>
      <c r="AC62" s="93"/>
    </row>
    <row r="63" spans="1:29" ht="15" customHeight="1">
      <c r="A63" s="354"/>
      <c r="B63" s="342"/>
      <c r="C63" s="359"/>
      <c r="D63" s="114"/>
      <c r="E63" s="115"/>
      <c r="F63" s="115"/>
      <c r="G63" s="115"/>
      <c r="H63" s="115"/>
      <c r="I63" s="115"/>
      <c r="J63" s="115"/>
      <c r="K63" s="115"/>
      <c r="L63" s="115"/>
      <c r="M63" s="115"/>
      <c r="N63" s="115">
        <v>12316.76</v>
      </c>
      <c r="O63" s="115">
        <v>10297.68</v>
      </c>
      <c r="P63" s="91">
        <f>SUM(D63:O63)</f>
        <v>22614.440000000002</v>
      </c>
      <c r="Q63" s="89"/>
      <c r="R63" s="94"/>
      <c r="S63" s="93"/>
      <c r="T63" s="93"/>
      <c r="U63" s="93"/>
      <c r="V63" s="93"/>
      <c r="W63" s="93"/>
      <c r="X63" s="93"/>
      <c r="Y63" s="93"/>
      <c r="Z63" s="93"/>
      <c r="AA63" s="93"/>
      <c r="AB63" s="93"/>
      <c r="AC63" s="93"/>
    </row>
    <row r="64" spans="1:29" ht="15" customHeight="1">
      <c r="A64" s="354"/>
      <c r="B64" s="358" t="s">
        <v>467</v>
      </c>
      <c r="C64" s="343" t="s">
        <v>566</v>
      </c>
      <c r="D64" s="86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>
        <f>O65/P65</f>
        <v>1</v>
      </c>
      <c r="P64" s="88">
        <f>P65/P73</f>
        <v>6.1056577423299598E-2</v>
      </c>
      <c r="Q64" s="89"/>
      <c r="R64" s="93"/>
      <c r="S64" s="93"/>
      <c r="T64" s="93"/>
      <c r="U64" s="93"/>
      <c r="V64" s="93"/>
      <c r="W64" s="93"/>
      <c r="X64" s="93"/>
      <c r="Y64" s="93"/>
      <c r="Z64" s="93"/>
      <c r="AA64" s="93"/>
      <c r="AB64" s="93"/>
      <c r="AC64" s="93"/>
    </row>
    <row r="65" spans="1:29" ht="15" customHeight="1">
      <c r="A65" s="354"/>
      <c r="B65" s="357"/>
      <c r="C65" s="359"/>
      <c r="D65" s="114"/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>
        <v>41391.5</v>
      </c>
      <c r="P65" s="91">
        <f>SUM(D65:O65)</f>
        <v>41391.5</v>
      </c>
      <c r="Q65" s="89"/>
      <c r="R65" s="93"/>
      <c r="S65" s="93"/>
      <c r="T65" s="93"/>
      <c r="U65" s="93"/>
      <c r="V65" s="93"/>
      <c r="W65" s="93"/>
      <c r="X65" s="93"/>
      <c r="Y65" s="93"/>
      <c r="Z65" s="93"/>
      <c r="AA65" s="93"/>
      <c r="AB65" s="93"/>
      <c r="AC65" s="93"/>
    </row>
    <row r="66" spans="1:29" ht="15" customHeight="1">
      <c r="A66" s="354"/>
      <c r="B66" s="358" t="s">
        <v>469</v>
      </c>
      <c r="C66" s="343" t="s">
        <v>567</v>
      </c>
      <c r="D66" s="86"/>
      <c r="E66" s="87">
        <f>E67/P67</f>
        <v>0.32833123082385018</v>
      </c>
      <c r="F66" s="87">
        <f>F67/P67</f>
        <v>0.32833123082385018</v>
      </c>
      <c r="G66" s="87">
        <f>G67/P67</f>
        <v>0.34333753835229974</v>
      </c>
      <c r="H66" s="87"/>
      <c r="I66" s="87"/>
      <c r="J66" s="87"/>
      <c r="K66" s="87"/>
      <c r="L66" s="87"/>
      <c r="M66" s="87"/>
      <c r="N66" s="87"/>
      <c r="O66" s="87"/>
      <c r="P66" s="88">
        <f>P67/P73</f>
        <v>0.10333249886959445</v>
      </c>
      <c r="Q66" s="89"/>
      <c r="R66" s="93"/>
      <c r="S66" s="93"/>
      <c r="T66" s="93"/>
      <c r="U66" s="93"/>
      <c r="V66" s="93"/>
      <c r="W66" s="93"/>
      <c r="X66" s="93"/>
      <c r="Y66" s="93"/>
      <c r="Z66" s="93"/>
      <c r="AA66" s="93"/>
      <c r="AB66" s="93"/>
      <c r="AC66" s="93"/>
    </row>
    <row r="67" spans="1:29" ht="15" customHeight="1">
      <c r="A67" s="354"/>
      <c r="B67" s="357"/>
      <c r="C67" s="359"/>
      <c r="D67" s="114"/>
      <c r="E67" s="115">
        <v>23000</v>
      </c>
      <c r="F67" s="115">
        <v>23000</v>
      </c>
      <c r="G67" s="115">
        <v>24051.21</v>
      </c>
      <c r="H67" s="115"/>
      <c r="I67" s="115"/>
      <c r="J67" s="115"/>
      <c r="K67" s="115"/>
      <c r="L67" s="115"/>
      <c r="M67" s="115"/>
      <c r="N67" s="115"/>
      <c r="O67" s="115"/>
      <c r="P67" s="91">
        <f>SUM(D67:O67)</f>
        <v>70051.209999999992</v>
      </c>
      <c r="Q67" s="89"/>
      <c r="R67" s="252"/>
      <c r="S67" s="93"/>
      <c r="T67" s="93"/>
      <c r="U67" s="93"/>
      <c r="V67" s="93"/>
      <c r="W67" s="93"/>
      <c r="X67" s="93"/>
      <c r="Y67" s="93"/>
      <c r="Z67" s="93"/>
      <c r="AA67" s="93"/>
      <c r="AB67" s="93"/>
      <c r="AC67" s="93"/>
    </row>
    <row r="68" spans="1:29" ht="15" customHeight="1">
      <c r="A68" s="354"/>
      <c r="B68" s="358" t="s">
        <v>470</v>
      </c>
      <c r="C68" s="343" t="s">
        <v>568</v>
      </c>
      <c r="D68" s="86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>
        <f>O69/P69</f>
        <v>1</v>
      </c>
      <c r="P68" s="88">
        <f>P69/P73</f>
        <v>7.5475924968832264E-2</v>
      </c>
      <c r="Q68" s="89"/>
      <c r="R68" s="93"/>
      <c r="S68" s="93"/>
      <c r="T68" s="93"/>
      <c r="U68" s="93"/>
      <c r="V68" s="93"/>
      <c r="W68" s="93"/>
      <c r="X68" s="93"/>
      <c r="Y68" s="93"/>
      <c r="Z68" s="93"/>
      <c r="AA68" s="93"/>
      <c r="AB68" s="93"/>
      <c r="AC68" s="93"/>
    </row>
    <row r="69" spans="1:29" ht="15" customHeight="1">
      <c r="A69" s="354"/>
      <c r="B69" s="357"/>
      <c r="C69" s="359"/>
      <c r="D69" s="114"/>
      <c r="E69" s="115"/>
      <c r="F69" s="115"/>
      <c r="G69" s="115"/>
      <c r="H69" s="115"/>
      <c r="I69" s="115"/>
      <c r="J69" s="115"/>
      <c r="K69" s="115"/>
      <c r="L69" s="115"/>
      <c r="M69" s="115"/>
      <c r="N69" s="115"/>
      <c r="O69" s="115">
        <v>51166.67</v>
      </c>
      <c r="P69" s="91">
        <f>SUM(D69:O69)</f>
        <v>51166.67</v>
      </c>
      <c r="Q69" s="89"/>
      <c r="R69" s="93"/>
      <c r="S69" s="93"/>
      <c r="T69" s="93"/>
      <c r="U69" s="93"/>
      <c r="V69" s="93"/>
      <c r="W69" s="93"/>
      <c r="X69" s="93"/>
      <c r="Y69" s="93"/>
      <c r="Z69" s="93"/>
      <c r="AA69" s="93"/>
      <c r="AB69" s="93"/>
      <c r="AC69" s="93"/>
    </row>
    <row r="70" spans="1:29" ht="15" customHeight="1">
      <c r="A70" s="354"/>
      <c r="B70" s="362" t="s">
        <v>471</v>
      </c>
      <c r="C70" s="343" t="s">
        <v>569</v>
      </c>
      <c r="D70" s="86"/>
      <c r="E70" s="87"/>
      <c r="F70" s="87"/>
      <c r="G70" s="87"/>
      <c r="H70" s="87"/>
      <c r="I70" s="87"/>
      <c r="J70" s="87"/>
      <c r="K70" s="87"/>
      <c r="L70" s="87">
        <f>L71/P67</f>
        <v>7.1376354526923952E-2</v>
      </c>
      <c r="M70" s="87">
        <f>M71/P67</f>
        <v>0.11420216724307833</v>
      </c>
      <c r="N70" s="87">
        <f>N71/P67</f>
        <v>0.19770079631743695</v>
      </c>
      <c r="O70" s="87"/>
      <c r="P70" s="88">
        <f>P71/$P$73</f>
        <v>3.9605209703009243E-2</v>
      </c>
      <c r="Q70" s="89"/>
      <c r="R70" s="93"/>
      <c r="S70" s="93"/>
      <c r="T70" s="93"/>
      <c r="U70" s="93"/>
      <c r="V70" s="93"/>
      <c r="W70" s="93"/>
      <c r="X70" s="93"/>
      <c r="Y70" s="93"/>
      <c r="Z70" s="93"/>
      <c r="AA70" s="93"/>
      <c r="AB70" s="93"/>
      <c r="AC70" s="93"/>
    </row>
    <row r="71" spans="1:29" ht="15" customHeight="1" thickBot="1">
      <c r="A71" s="366"/>
      <c r="B71" s="363"/>
      <c r="C71" s="364"/>
      <c r="D71" s="90"/>
      <c r="E71" s="97"/>
      <c r="F71" s="97"/>
      <c r="G71" s="97"/>
      <c r="H71" s="97"/>
      <c r="I71" s="97"/>
      <c r="J71" s="97"/>
      <c r="K71" s="97"/>
      <c r="L71" s="97">
        <f>5000</f>
        <v>5000</v>
      </c>
      <c r="M71" s="97">
        <v>8000</v>
      </c>
      <c r="N71" s="97">
        <v>13849.18</v>
      </c>
      <c r="O71" s="97"/>
      <c r="P71" s="91">
        <f>SUM(D71:O71)</f>
        <v>26849.18</v>
      </c>
      <c r="Q71" s="89"/>
      <c r="R71" s="94"/>
      <c r="S71" s="93"/>
      <c r="T71" s="93"/>
      <c r="U71" s="93"/>
      <c r="V71" s="93"/>
      <c r="W71" s="93"/>
      <c r="X71" s="93"/>
      <c r="Y71" s="93"/>
      <c r="Z71" s="93"/>
      <c r="AA71" s="93"/>
      <c r="AB71" s="93"/>
      <c r="AC71" s="93"/>
    </row>
    <row r="72" spans="1:29" ht="15.95" customHeight="1">
      <c r="A72" s="349" t="s">
        <v>476</v>
      </c>
      <c r="B72" s="349"/>
      <c r="C72" s="349"/>
      <c r="D72" s="116">
        <f>D73/P73</f>
        <v>9.8597857527257526E-3</v>
      </c>
      <c r="E72" s="117">
        <f>E73/P73</f>
        <v>4.8158514655134821E-2</v>
      </c>
      <c r="F72" s="118">
        <f>F73/P73</f>
        <v>9.8317883658348634E-2</v>
      </c>
      <c r="G72" s="118">
        <f>G73/P73</f>
        <v>9.1834851232757558E-2</v>
      </c>
      <c r="H72" s="118">
        <f>H73/P73</f>
        <v>7.4070892776336397E-2</v>
      </c>
      <c r="I72" s="118">
        <f>I73/P73</f>
        <v>6.7607110398107073E-2</v>
      </c>
      <c r="J72" s="118">
        <f>J73/P73</f>
        <v>0.10021399119699023</v>
      </c>
      <c r="K72" s="118">
        <f>K73/P73</f>
        <v>6.1735993462713433E-2</v>
      </c>
      <c r="L72" s="118">
        <f>L73/P73</f>
        <v>7.4183723130566329E-2</v>
      </c>
      <c r="M72" s="118">
        <f>M73/P73</f>
        <v>4.3543695638253471E-2</v>
      </c>
      <c r="N72" s="118">
        <f>N73/P73</f>
        <v>0.11793453747763695</v>
      </c>
      <c r="O72" s="118">
        <f>O73/P73</f>
        <v>0.21253902062042945</v>
      </c>
      <c r="P72" s="119">
        <f>SUM(D72:O72)</f>
        <v>1</v>
      </c>
      <c r="Q72" s="120"/>
      <c r="R72" s="121"/>
    </row>
    <row r="73" spans="1:29" ht="15.95" customHeight="1">
      <c r="A73" s="349" t="s">
        <v>477</v>
      </c>
      <c r="B73" s="349"/>
      <c r="C73" s="349"/>
      <c r="D73" s="122">
        <f>D19+D55+D53</f>
        <v>6684.15</v>
      </c>
      <c r="E73" s="123">
        <f>E19+E67+E55+E21</f>
        <v>32647.640000000003</v>
      </c>
      <c r="F73" s="124">
        <f>F19+F67+F57+F21+F45+F43+F23+F35</f>
        <v>66651.7</v>
      </c>
      <c r="G73" s="124">
        <f>G45+G23+G19+G21+G67+G59+G25</f>
        <v>62256.72</v>
      </c>
      <c r="H73" s="125">
        <f>H23+H59+H37+H27+H25</f>
        <v>50214.17</v>
      </c>
      <c r="I73" s="124">
        <f>I29+I59+I37</f>
        <v>45832.240000000005</v>
      </c>
      <c r="J73" s="124">
        <f>J27+J59+J45+J39+J37+J33+J43</f>
        <v>67937.11</v>
      </c>
      <c r="K73" s="124">
        <f>K29+K59+K39+K33</f>
        <v>41852.090000000004</v>
      </c>
      <c r="L73" s="124">
        <f>L31+L27+L71+L59+L54</f>
        <v>50290.66</v>
      </c>
      <c r="M73" s="124">
        <f>M37+M33+M47+M29+M27+M71</f>
        <v>29519.16</v>
      </c>
      <c r="N73" s="124">
        <f>N61+N33+N47+N71+N63</f>
        <v>79950.23</v>
      </c>
      <c r="O73" s="124">
        <f>O47+O69+O49+O51+O41+O65+O63</f>
        <v>144084.53999999998</v>
      </c>
      <c r="P73" s="126">
        <f>SUM(D73:O73)</f>
        <v>677920.40999999992</v>
      </c>
      <c r="Q73" s="120"/>
    </row>
    <row r="74" spans="1:29" ht="5.0999999999999996" customHeight="1">
      <c r="A74" s="365"/>
      <c r="B74" s="365"/>
      <c r="C74" s="365"/>
      <c r="D74" s="127"/>
      <c r="E74" s="128"/>
      <c r="F74" s="128"/>
      <c r="G74" s="128"/>
      <c r="H74" s="128"/>
      <c r="I74" s="128"/>
      <c r="J74" s="129"/>
      <c r="K74" s="129"/>
      <c r="L74" s="129"/>
      <c r="M74" s="128"/>
      <c r="N74" s="128"/>
      <c r="O74" s="128"/>
      <c r="P74" s="268"/>
    </row>
    <row r="75" spans="1:29" ht="36" customHeight="1">
      <c r="A75" s="130"/>
      <c r="B75" s="361" t="s">
        <v>768</v>
      </c>
      <c r="C75" s="361"/>
      <c r="D75" s="361"/>
      <c r="E75" s="361"/>
      <c r="F75" s="131"/>
      <c r="G75" s="131"/>
      <c r="H75" s="265"/>
      <c r="I75" s="265"/>
      <c r="J75" s="265"/>
      <c r="K75" s="131"/>
      <c r="L75" s="131"/>
      <c r="M75" s="293"/>
      <c r="N75" s="293"/>
      <c r="O75" s="293"/>
      <c r="P75" s="294"/>
    </row>
    <row r="76" spans="1:29" ht="15" customHeight="1">
      <c r="A76" s="132"/>
      <c r="B76" s="133"/>
      <c r="C76" s="133"/>
      <c r="D76" s="133"/>
      <c r="E76" s="133"/>
      <c r="F76" s="133"/>
      <c r="G76" s="133"/>
      <c r="H76" s="367" t="s">
        <v>758</v>
      </c>
      <c r="I76" s="367"/>
      <c r="J76" s="367"/>
      <c r="K76" s="134"/>
      <c r="L76" s="134"/>
      <c r="M76" s="295" t="s">
        <v>37</v>
      </c>
      <c r="N76" s="295"/>
      <c r="O76" s="295"/>
      <c r="P76" s="296"/>
    </row>
    <row r="77" spans="1:29" ht="15" customHeight="1">
      <c r="A77" s="132"/>
      <c r="B77" s="133"/>
      <c r="C77" s="133"/>
      <c r="D77" s="133"/>
      <c r="E77" s="133"/>
      <c r="F77" s="133"/>
      <c r="G77" s="133"/>
      <c r="H77" s="368" t="s">
        <v>774</v>
      </c>
      <c r="I77" s="368"/>
      <c r="J77" s="368"/>
      <c r="K77" s="134"/>
      <c r="L77" s="134"/>
      <c r="M77" s="370" t="s">
        <v>38</v>
      </c>
      <c r="N77" s="370"/>
      <c r="O77" s="370"/>
      <c r="P77" s="371"/>
    </row>
    <row r="78" spans="1:29" ht="15" customHeight="1">
      <c r="A78" s="272"/>
      <c r="B78" s="270"/>
      <c r="C78" s="270"/>
      <c r="D78" s="270"/>
      <c r="E78" s="270"/>
      <c r="F78" s="270"/>
      <c r="G78" s="270"/>
      <c r="H78" s="369" t="s">
        <v>772</v>
      </c>
      <c r="I78" s="369"/>
      <c r="J78" s="369"/>
      <c r="K78" s="271"/>
      <c r="L78" s="271"/>
      <c r="M78" s="295" t="s">
        <v>561</v>
      </c>
      <c r="N78" s="295"/>
      <c r="O78" s="295"/>
      <c r="P78" s="296"/>
    </row>
    <row r="79" spans="1:29">
      <c r="A79" s="273"/>
      <c r="B79" s="274"/>
      <c r="C79" s="274"/>
      <c r="D79" s="274"/>
      <c r="E79" s="274"/>
      <c r="F79" s="274"/>
      <c r="G79" s="274"/>
      <c r="H79" s="274"/>
      <c r="I79" s="274"/>
      <c r="J79" s="274"/>
      <c r="K79" s="274"/>
      <c r="L79" s="274"/>
      <c r="M79" s="274"/>
      <c r="N79" s="274"/>
      <c r="O79" s="274"/>
      <c r="P79" s="275"/>
    </row>
  </sheetData>
  <mergeCells count="77">
    <mergeCell ref="M75:P75"/>
    <mergeCell ref="H76:J76"/>
    <mergeCell ref="H77:J77"/>
    <mergeCell ref="H78:J78"/>
    <mergeCell ref="M76:P76"/>
    <mergeCell ref="M77:P77"/>
    <mergeCell ref="M78:P78"/>
    <mergeCell ref="B60:B61"/>
    <mergeCell ref="C60:C61"/>
    <mergeCell ref="B75:E75"/>
    <mergeCell ref="B64:B65"/>
    <mergeCell ref="C64:C65"/>
    <mergeCell ref="B66:B67"/>
    <mergeCell ref="C66:C67"/>
    <mergeCell ref="B68:B69"/>
    <mergeCell ref="C68:C69"/>
    <mergeCell ref="B70:B71"/>
    <mergeCell ref="C70:C71"/>
    <mergeCell ref="A72:C72"/>
    <mergeCell ref="A73:C73"/>
    <mergeCell ref="A74:C74"/>
    <mergeCell ref="A52:A71"/>
    <mergeCell ref="B46:B47"/>
    <mergeCell ref="C46:C47"/>
    <mergeCell ref="B62:B63"/>
    <mergeCell ref="C62:C63"/>
    <mergeCell ref="B48:B49"/>
    <mergeCell ref="C48:C49"/>
    <mergeCell ref="B50:B51"/>
    <mergeCell ref="C50:C51"/>
    <mergeCell ref="B52:B53"/>
    <mergeCell ref="C52:C53"/>
    <mergeCell ref="B54:B55"/>
    <mergeCell ref="C54:C55"/>
    <mergeCell ref="B56:B57"/>
    <mergeCell ref="C56:C57"/>
    <mergeCell ref="B58:B59"/>
    <mergeCell ref="C58:C59"/>
    <mergeCell ref="B40:B41"/>
    <mergeCell ref="C40:C41"/>
    <mergeCell ref="B42:B43"/>
    <mergeCell ref="C42:C43"/>
    <mergeCell ref="B44:B45"/>
    <mergeCell ref="C44:C45"/>
    <mergeCell ref="B34:B35"/>
    <mergeCell ref="C34:C35"/>
    <mergeCell ref="B36:B37"/>
    <mergeCell ref="C36:C37"/>
    <mergeCell ref="B38:B39"/>
    <mergeCell ref="C38:C39"/>
    <mergeCell ref="C26:C27"/>
    <mergeCell ref="B30:B31"/>
    <mergeCell ref="C30:C31"/>
    <mergeCell ref="B32:B33"/>
    <mergeCell ref="C32:C33"/>
    <mergeCell ref="B28:B29"/>
    <mergeCell ref="C28:C29"/>
    <mergeCell ref="A14:P14"/>
    <mergeCell ref="A15:P15"/>
    <mergeCell ref="P16:P17"/>
    <mergeCell ref="A17:C17"/>
    <mergeCell ref="A18:A51"/>
    <mergeCell ref="B18:B19"/>
    <mergeCell ref="C18:C19"/>
    <mergeCell ref="B20:B21"/>
    <mergeCell ref="C20:C21"/>
    <mergeCell ref="B22:B23"/>
    <mergeCell ref="C22:C23"/>
    <mergeCell ref="B24:B25"/>
    <mergeCell ref="C24:C25"/>
    <mergeCell ref="B26:B27"/>
    <mergeCell ref="A13:P13"/>
    <mergeCell ref="A1:P7"/>
    <mergeCell ref="A8:P8"/>
    <mergeCell ref="A10:P10"/>
    <mergeCell ref="A11:P11"/>
    <mergeCell ref="A12:P12"/>
  </mergeCells>
  <pageMargins left="0.9055118110236221" right="0.70866141732283472" top="0.94488188976377963" bottom="0.55118110236220474" header="0.31496062992125984" footer="0.31496062992125984"/>
  <pageSetup paperSize="9" scale="53" firstPageNumber="0" fitToHeight="0" orientation="landscape" horizontalDpi="300" verticalDpi="300" r:id="rId1"/>
  <headerFooter>
    <oddFooter>&amp;C&amp;11Prefeitura Municipal da Estância Turística de Paraguaçu Paulista - Av. Siqueira Campos 1430 CEP 19.703-061 - Fone: (18)3361-9100 - Fax: (18) 3361-1331 – Estância Turística de Paraguaçu Paulista - SP&amp;R&amp;P</oddFooter>
  </headerFooter>
  <rowBreaks count="1" manualBreakCount="1">
    <brk id="51" max="1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98"/>
  <sheetViews>
    <sheetView showGridLines="0" view="pageBreakPreview" topLeftCell="A13" zoomScale="69" zoomScaleNormal="120" zoomScaleSheetLayoutView="85" workbookViewId="0">
      <selection activeCell="Q88" sqref="P80:Q88"/>
    </sheetView>
  </sheetViews>
  <sheetFormatPr defaultRowHeight="15"/>
  <cols>
    <col min="1" max="1" width="9.140625" style="164"/>
    <col min="2" max="2" width="9.7109375" style="164" customWidth="1"/>
    <col min="3" max="3" width="11.42578125" style="164" customWidth="1"/>
    <col min="4" max="4" width="41" style="164" customWidth="1"/>
    <col min="5" max="5" width="6" style="164" customWidth="1"/>
    <col min="6" max="6" width="11.7109375" style="164" customWidth="1"/>
    <col min="7" max="7" width="8.7109375" style="164" customWidth="1"/>
    <col min="8" max="8" width="15.7109375" style="164" customWidth="1"/>
    <col min="9" max="9" width="12.85546875" style="164" customWidth="1"/>
    <col min="10" max="10" width="5.7109375" style="164" customWidth="1"/>
    <col min="11" max="11" width="6.7109375" style="164" customWidth="1"/>
    <col min="12" max="12" width="8.7109375" style="164" customWidth="1"/>
    <col min="13" max="13" width="15.7109375" style="164" customWidth="1"/>
    <col min="14" max="14" width="15.140625" style="164" customWidth="1"/>
    <col min="15" max="15" width="36.140625" style="164" customWidth="1"/>
    <col min="16" max="16" width="33.5703125" style="164" customWidth="1"/>
    <col min="17" max="17" width="31.28515625" style="206" customWidth="1"/>
    <col min="18" max="21" width="9.140625" style="206"/>
    <col min="22" max="24" width="9.140625" style="207"/>
    <col min="25" max="16384" width="9.140625" style="164"/>
  </cols>
  <sheetData>
    <row r="1" spans="1:24" ht="20.100000000000001" customHeight="1">
      <c r="A1" s="238"/>
      <c r="B1" s="429"/>
      <c r="C1" s="429"/>
      <c r="D1" s="431" t="s">
        <v>571</v>
      </c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2"/>
      <c r="P1" s="161"/>
      <c r="Q1" s="162"/>
      <c r="R1" s="162"/>
      <c r="S1" s="162"/>
      <c r="T1" s="162"/>
      <c r="U1" s="162"/>
      <c r="V1" s="163"/>
      <c r="W1" s="163"/>
      <c r="X1" s="163"/>
    </row>
    <row r="2" spans="1:24" s="168" customFormat="1" ht="30" customHeight="1">
      <c r="A2" s="239"/>
      <c r="B2" s="430"/>
      <c r="C2" s="430"/>
      <c r="D2" s="433"/>
      <c r="E2" s="433"/>
      <c r="F2" s="433"/>
      <c r="G2" s="433"/>
      <c r="H2" s="433"/>
      <c r="I2" s="433"/>
      <c r="J2" s="433"/>
      <c r="K2" s="433"/>
      <c r="L2" s="433"/>
      <c r="M2" s="433"/>
      <c r="N2" s="433"/>
      <c r="O2" s="434"/>
      <c r="P2" s="165"/>
      <c r="Q2" s="166"/>
      <c r="R2" s="166"/>
      <c r="S2" s="166"/>
      <c r="T2" s="166"/>
      <c r="U2" s="166"/>
      <c r="V2" s="167"/>
      <c r="W2" s="167"/>
      <c r="X2" s="167"/>
    </row>
    <row r="3" spans="1:24" ht="20.100000000000001" customHeight="1">
      <c r="A3" s="232"/>
      <c r="B3" s="430"/>
      <c r="C3" s="430"/>
      <c r="D3" s="169"/>
      <c r="E3" s="169"/>
      <c r="F3" s="169"/>
      <c r="G3" s="169"/>
      <c r="H3" s="259"/>
      <c r="I3" s="259"/>
      <c r="J3" s="259"/>
      <c r="K3" s="169"/>
      <c r="L3" s="169"/>
      <c r="M3" s="169"/>
      <c r="N3" s="169"/>
      <c r="O3" s="170"/>
      <c r="P3" s="161"/>
      <c r="Q3" s="162"/>
      <c r="R3" s="162"/>
      <c r="S3" s="162"/>
      <c r="T3" s="162"/>
      <c r="U3" s="162"/>
      <c r="V3" s="163"/>
      <c r="W3" s="163"/>
      <c r="X3" s="163"/>
    </row>
    <row r="4" spans="1:24" ht="20.100000000000001" customHeight="1">
      <c r="A4" s="232"/>
      <c r="B4" s="430"/>
      <c r="C4" s="430"/>
      <c r="D4" s="169"/>
      <c r="E4" s="169"/>
      <c r="F4" s="169"/>
      <c r="G4" s="169"/>
      <c r="H4" s="259"/>
      <c r="I4" s="259"/>
      <c r="J4" s="259"/>
      <c r="K4" s="169"/>
      <c r="L4" s="169"/>
      <c r="M4" s="169"/>
      <c r="N4" s="169"/>
      <c r="O4" s="171"/>
      <c r="P4" s="161"/>
      <c r="Q4" s="172"/>
      <c r="R4" s="162"/>
      <c r="S4" s="162"/>
      <c r="T4" s="162"/>
      <c r="U4" s="162"/>
      <c r="V4" s="163"/>
      <c r="W4" s="163"/>
      <c r="X4" s="163"/>
    </row>
    <row r="5" spans="1:24" ht="9.9499999999999993" customHeight="1">
      <c r="A5" s="232"/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435"/>
      <c r="M5" s="435"/>
      <c r="N5" s="435"/>
      <c r="O5" s="436"/>
      <c r="P5" s="161"/>
      <c r="Q5" s="172"/>
      <c r="R5" s="162"/>
      <c r="S5" s="162"/>
      <c r="T5" s="162"/>
      <c r="U5" s="162"/>
      <c r="V5" s="163"/>
      <c r="W5" s="163"/>
      <c r="X5" s="163"/>
    </row>
    <row r="6" spans="1:24" ht="24.95" customHeight="1">
      <c r="A6" s="232"/>
      <c r="B6" s="403" t="s">
        <v>572</v>
      </c>
      <c r="C6" s="403"/>
      <c r="D6" s="437" t="s">
        <v>573</v>
      </c>
      <c r="E6" s="437"/>
      <c r="F6" s="437"/>
      <c r="G6" s="437"/>
      <c r="H6" s="437"/>
      <c r="I6" s="173"/>
      <c r="J6" s="174"/>
      <c r="K6" s="438" t="s">
        <v>574</v>
      </c>
      <c r="L6" s="438"/>
      <c r="M6" s="438"/>
      <c r="N6" s="175"/>
      <c r="O6" s="260" t="s">
        <v>575</v>
      </c>
      <c r="P6" s="176"/>
      <c r="Q6" s="177"/>
      <c r="R6" s="162"/>
      <c r="S6" s="162"/>
      <c r="T6" s="162"/>
      <c r="U6" s="162"/>
      <c r="V6" s="163"/>
      <c r="W6" s="163"/>
      <c r="X6" s="163"/>
    </row>
    <row r="7" spans="1:24" ht="30" customHeight="1">
      <c r="A7" s="232"/>
      <c r="B7" s="403" t="s">
        <v>576</v>
      </c>
      <c r="C7" s="403"/>
      <c r="D7" s="455" t="s">
        <v>607</v>
      </c>
      <c r="E7" s="456"/>
      <c r="F7" s="456"/>
      <c r="G7" s="456"/>
      <c r="H7" s="456"/>
      <c r="I7" s="178"/>
      <c r="J7" s="174"/>
      <c r="K7" s="457" t="s">
        <v>765</v>
      </c>
      <c r="L7" s="457"/>
      <c r="M7" s="457"/>
      <c r="N7" s="179"/>
      <c r="O7" s="180" t="s">
        <v>766</v>
      </c>
      <c r="P7" s="181"/>
      <c r="Q7" s="182"/>
      <c r="R7" s="162"/>
      <c r="S7" s="162"/>
      <c r="T7" s="162"/>
      <c r="U7" s="162"/>
      <c r="V7" s="163"/>
      <c r="W7" s="163"/>
      <c r="X7" s="163"/>
    </row>
    <row r="8" spans="1:24" ht="24.95" customHeight="1">
      <c r="A8" s="232"/>
      <c r="B8" s="403" t="s">
        <v>577</v>
      </c>
      <c r="C8" s="403"/>
      <c r="D8" s="458" t="s">
        <v>637</v>
      </c>
      <c r="E8" s="458"/>
      <c r="F8" s="458"/>
      <c r="G8" s="458"/>
      <c r="H8" s="458"/>
      <c r="I8" s="178"/>
      <c r="J8" s="459" t="s">
        <v>578</v>
      </c>
      <c r="K8" s="425" t="s">
        <v>579</v>
      </c>
      <c r="L8" s="426"/>
      <c r="M8" s="460" t="s">
        <v>580</v>
      </c>
      <c r="N8" s="461"/>
      <c r="O8" s="462"/>
      <c r="P8" s="174"/>
      <c r="Q8" s="177"/>
      <c r="R8" s="162"/>
      <c r="S8" s="162"/>
      <c r="T8" s="162"/>
      <c r="U8" s="162"/>
      <c r="V8" s="163"/>
      <c r="W8" s="163"/>
      <c r="X8" s="163"/>
    </row>
    <row r="9" spans="1:24" ht="24.95" customHeight="1">
      <c r="A9" s="232"/>
      <c r="B9" s="403" t="s">
        <v>581</v>
      </c>
      <c r="C9" s="403"/>
      <c r="D9" s="458"/>
      <c r="E9" s="458"/>
      <c r="F9" s="458"/>
      <c r="G9" s="458"/>
      <c r="H9" s="458"/>
      <c r="I9" s="178"/>
      <c r="J9" s="459"/>
      <c r="K9" s="425" t="s">
        <v>582</v>
      </c>
      <c r="L9" s="426"/>
      <c r="M9" s="427" t="str">
        <f>IFERROR((CONCATENATE(G13+L13," dias a partir da data de assinatura do convênio")),"Cálculo automático")</f>
        <v>1440 dias a partir da data de assinatura do convênio</v>
      </c>
      <c r="N9" s="427"/>
      <c r="O9" s="428"/>
      <c r="P9" s="174"/>
      <c r="Q9" s="177"/>
      <c r="R9" s="162"/>
      <c r="S9" s="162"/>
      <c r="T9" s="162"/>
      <c r="U9" s="162"/>
      <c r="V9" s="163"/>
      <c r="W9" s="163"/>
      <c r="X9" s="163"/>
    </row>
    <row r="10" spans="1:24">
      <c r="A10" s="232"/>
      <c r="B10" s="169"/>
      <c r="C10" s="183"/>
      <c r="D10" s="183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71"/>
      <c r="P10" s="161"/>
      <c r="Q10" s="172"/>
      <c r="R10" s="162"/>
      <c r="S10" s="162"/>
      <c r="T10" s="162"/>
      <c r="U10" s="162"/>
      <c r="V10" s="163"/>
      <c r="W10" s="163"/>
      <c r="X10" s="163"/>
    </row>
    <row r="11" spans="1:24">
      <c r="A11" s="232"/>
      <c r="B11" s="439" t="s">
        <v>583</v>
      </c>
      <c r="C11" s="440" t="s">
        <v>459</v>
      </c>
      <c r="D11" s="441"/>
      <c r="E11" s="444" t="s">
        <v>584</v>
      </c>
      <c r="F11" s="446" t="s">
        <v>585</v>
      </c>
      <c r="G11" s="446"/>
      <c r="H11" s="446"/>
      <c r="I11" s="446"/>
      <c r="J11" s="447" t="s">
        <v>586</v>
      </c>
      <c r="K11" s="447"/>
      <c r="L11" s="447"/>
      <c r="M11" s="447"/>
      <c r="N11" s="448"/>
      <c r="O11" s="449" t="s">
        <v>458</v>
      </c>
      <c r="P11" s="161"/>
      <c r="Q11" s="184"/>
      <c r="R11" s="162"/>
      <c r="S11" s="162"/>
      <c r="T11" s="162"/>
      <c r="U11" s="162"/>
      <c r="V11" s="163"/>
      <c r="W11" s="163"/>
      <c r="X11" s="163"/>
    </row>
    <row r="12" spans="1:24" ht="5.45" customHeight="1">
      <c r="A12" s="232"/>
      <c r="B12" s="439"/>
      <c r="C12" s="442"/>
      <c r="D12" s="443"/>
      <c r="E12" s="445"/>
      <c r="F12" s="185"/>
      <c r="G12" s="186"/>
      <c r="H12" s="186"/>
      <c r="I12" s="186"/>
      <c r="J12" s="451"/>
      <c r="K12" s="451"/>
      <c r="L12" s="451"/>
      <c r="M12" s="451"/>
      <c r="N12" s="452"/>
      <c r="O12" s="450"/>
      <c r="P12" s="161"/>
      <c r="Q12" s="162"/>
      <c r="R12" s="162"/>
      <c r="S12" s="162"/>
      <c r="T12" s="162"/>
      <c r="U12" s="162"/>
      <c r="V12" s="163"/>
      <c r="W12" s="163"/>
      <c r="X12" s="163"/>
    </row>
    <row r="13" spans="1:24" ht="15" customHeight="1">
      <c r="A13" s="232"/>
      <c r="B13" s="439"/>
      <c r="C13" s="442"/>
      <c r="D13" s="443"/>
      <c r="E13" s="445"/>
      <c r="F13" s="187" t="s">
        <v>587</v>
      </c>
      <c r="G13" s="188">
        <v>720</v>
      </c>
      <c r="H13" s="189" t="s">
        <v>588</v>
      </c>
      <c r="I13" s="190"/>
      <c r="J13" s="453" t="s">
        <v>587</v>
      </c>
      <c r="K13" s="454"/>
      <c r="L13" s="188">
        <v>720</v>
      </c>
      <c r="M13" s="419" t="s">
        <v>588</v>
      </c>
      <c r="N13" s="420"/>
      <c r="O13" s="450"/>
      <c r="P13" s="161"/>
      <c r="Q13" s="162"/>
      <c r="R13" s="162"/>
      <c r="S13" s="162"/>
      <c r="T13" s="162"/>
      <c r="U13" s="162"/>
      <c r="V13" s="163"/>
      <c r="W13" s="163"/>
      <c r="X13" s="163"/>
    </row>
    <row r="14" spans="1:24" ht="20.100000000000001" customHeight="1">
      <c r="A14" s="232"/>
      <c r="B14" s="439"/>
      <c r="C14" s="442"/>
      <c r="D14" s="443"/>
      <c r="E14" s="445"/>
      <c r="F14" s="421" t="s">
        <v>589</v>
      </c>
      <c r="G14" s="422"/>
      <c r="H14" s="191"/>
      <c r="I14" s="192"/>
      <c r="J14" s="421" t="s">
        <v>590</v>
      </c>
      <c r="K14" s="422"/>
      <c r="L14" s="193"/>
      <c r="M14" s="194"/>
      <c r="N14" s="195"/>
      <c r="O14" s="450"/>
      <c r="P14" s="161"/>
      <c r="Q14" s="196"/>
      <c r="R14" s="162"/>
      <c r="S14" s="162"/>
      <c r="T14" s="162"/>
      <c r="U14" s="162"/>
      <c r="V14" s="163"/>
      <c r="W14" s="163"/>
      <c r="X14" s="163"/>
    </row>
    <row r="15" spans="1:24" ht="20.100000000000001" customHeight="1">
      <c r="A15" s="232"/>
      <c r="B15" s="439"/>
      <c r="C15" s="442"/>
      <c r="D15" s="443"/>
      <c r="E15" s="445"/>
      <c r="F15" s="421" t="s">
        <v>590</v>
      </c>
      <c r="G15" s="422"/>
      <c r="H15" s="194"/>
      <c r="I15" s="197"/>
      <c r="J15" s="421" t="s">
        <v>591</v>
      </c>
      <c r="K15" s="422"/>
      <c r="L15" s="422"/>
      <c r="M15" s="191"/>
      <c r="N15" s="198"/>
      <c r="O15" s="450"/>
      <c r="P15" s="161"/>
      <c r="Q15" s="196"/>
      <c r="R15" s="162"/>
      <c r="S15" s="162"/>
      <c r="T15" s="162"/>
      <c r="U15" s="162"/>
      <c r="V15" s="163"/>
      <c r="W15" s="163"/>
      <c r="X15" s="163"/>
    </row>
    <row r="16" spans="1:24" ht="20.100000000000001" customHeight="1">
      <c r="A16" s="232"/>
      <c r="B16" s="439"/>
      <c r="C16" s="442"/>
      <c r="D16" s="443"/>
      <c r="E16" s="445"/>
      <c r="F16" s="423" t="s">
        <v>591</v>
      </c>
      <c r="G16" s="424"/>
      <c r="H16" s="199"/>
      <c r="I16" s="200"/>
      <c r="J16" s="423" t="s">
        <v>592</v>
      </c>
      <c r="K16" s="424"/>
      <c r="L16" s="424"/>
      <c r="M16" s="199"/>
      <c r="N16" s="200"/>
      <c r="O16" s="450"/>
      <c r="P16" s="161"/>
      <c r="Q16" s="196"/>
      <c r="R16" s="162"/>
      <c r="S16" s="162"/>
      <c r="T16" s="162"/>
      <c r="U16" s="162"/>
      <c r="V16" s="163"/>
      <c r="W16" s="163"/>
      <c r="X16" s="163"/>
    </row>
    <row r="17" spans="1:15" ht="24.95" customHeight="1">
      <c r="A17" s="382" t="s">
        <v>385</v>
      </c>
      <c r="B17" s="389">
        <v>1</v>
      </c>
      <c r="C17" s="385" t="s">
        <v>604</v>
      </c>
      <c r="D17" s="416"/>
      <c r="E17" s="201" t="s">
        <v>593</v>
      </c>
      <c r="F17" s="202"/>
      <c r="G17" s="375">
        <f>IFERROR($F18/O18,0)</f>
        <v>0.49999910830365468</v>
      </c>
      <c r="H17" s="375"/>
      <c r="I17" s="376"/>
      <c r="J17" s="203"/>
      <c r="K17" s="204"/>
      <c r="L17" s="377">
        <f>IFERROR($J18/O18,0)</f>
        <v>0.50000089169634532</v>
      </c>
      <c r="M17" s="377"/>
      <c r="N17" s="378"/>
      <c r="O17" s="205">
        <f>L17+G17</f>
        <v>1</v>
      </c>
    </row>
    <row r="18" spans="1:15" ht="24.95" customHeight="1">
      <c r="A18" s="383"/>
      <c r="B18" s="389"/>
      <c r="C18" s="417"/>
      <c r="D18" s="418"/>
      <c r="E18" s="208" t="s">
        <v>594</v>
      </c>
      <c r="F18" s="379">
        <v>2803.64</v>
      </c>
      <c r="G18" s="380"/>
      <c r="H18" s="380"/>
      <c r="I18" s="381"/>
      <c r="J18" s="379">
        <v>2803.65</v>
      </c>
      <c r="K18" s="380"/>
      <c r="L18" s="380"/>
      <c r="M18" s="380"/>
      <c r="N18" s="381"/>
      <c r="O18" s="209">
        <f>IFERROR(F18+J18,0)</f>
        <v>5607.29</v>
      </c>
    </row>
    <row r="19" spans="1:15" ht="24.95" customHeight="1">
      <c r="A19" s="383"/>
      <c r="B19" s="389">
        <v>2</v>
      </c>
      <c r="C19" s="385" t="s">
        <v>56</v>
      </c>
      <c r="D19" s="386"/>
      <c r="E19" s="201" t="s">
        <v>593</v>
      </c>
      <c r="F19" s="202"/>
      <c r="G19" s="375">
        <f>IFERROR($F20/O20,0)</f>
        <v>0.5</v>
      </c>
      <c r="H19" s="375"/>
      <c r="I19" s="376"/>
      <c r="J19" s="203"/>
      <c r="K19" s="204"/>
      <c r="L19" s="377">
        <f>IFERROR($J20/O20,0)</f>
        <v>0.5</v>
      </c>
      <c r="M19" s="377"/>
      <c r="N19" s="378"/>
      <c r="O19" s="205">
        <f>L19+G19</f>
        <v>1</v>
      </c>
    </row>
    <row r="20" spans="1:15" ht="24.95" customHeight="1">
      <c r="A20" s="383"/>
      <c r="B20" s="389"/>
      <c r="C20" s="387"/>
      <c r="D20" s="388"/>
      <c r="E20" s="208" t="s">
        <v>594</v>
      </c>
      <c r="F20" s="379">
        <v>3604.55</v>
      </c>
      <c r="G20" s="380"/>
      <c r="H20" s="380"/>
      <c r="I20" s="381"/>
      <c r="J20" s="372">
        <v>3604.55</v>
      </c>
      <c r="K20" s="373"/>
      <c r="L20" s="373"/>
      <c r="M20" s="373"/>
      <c r="N20" s="374"/>
      <c r="O20" s="209">
        <f>IFERROR(F20+J20,0)</f>
        <v>7209.1</v>
      </c>
    </row>
    <row r="21" spans="1:15" ht="24.95" customHeight="1">
      <c r="A21" s="383"/>
      <c r="B21" s="389">
        <v>3</v>
      </c>
      <c r="C21" s="385" t="s">
        <v>205</v>
      </c>
      <c r="D21" s="386"/>
      <c r="E21" s="201" t="s">
        <v>593</v>
      </c>
      <c r="F21" s="202"/>
      <c r="G21" s="375">
        <f>IFERROR($F22/O22,0)</f>
        <v>0.50000040465024054</v>
      </c>
      <c r="H21" s="375"/>
      <c r="I21" s="376"/>
      <c r="J21" s="203"/>
      <c r="K21" s="204"/>
      <c r="L21" s="377">
        <f>IFERROR($J22/O22,0)</f>
        <v>0.49999959534975941</v>
      </c>
      <c r="M21" s="377"/>
      <c r="N21" s="378"/>
      <c r="O21" s="205">
        <f>L21+G21</f>
        <v>1</v>
      </c>
    </row>
    <row r="22" spans="1:15" ht="24.95" customHeight="1">
      <c r="A22" s="383"/>
      <c r="B22" s="389"/>
      <c r="C22" s="387"/>
      <c r="D22" s="388"/>
      <c r="E22" s="208" t="s">
        <v>594</v>
      </c>
      <c r="F22" s="379">
        <v>6178.18</v>
      </c>
      <c r="G22" s="380"/>
      <c r="H22" s="380"/>
      <c r="I22" s="381"/>
      <c r="J22" s="372">
        <v>6178.17</v>
      </c>
      <c r="K22" s="373"/>
      <c r="L22" s="373"/>
      <c r="M22" s="373"/>
      <c r="N22" s="374"/>
      <c r="O22" s="209">
        <f>IFERROR(F22+J22,0)</f>
        <v>12356.35</v>
      </c>
    </row>
    <row r="23" spans="1:15" ht="24.95" customHeight="1">
      <c r="A23" s="383"/>
      <c r="B23" s="389">
        <v>4</v>
      </c>
      <c r="C23" s="385" t="s">
        <v>30</v>
      </c>
      <c r="D23" s="386"/>
      <c r="E23" s="201" t="s">
        <v>593</v>
      </c>
      <c r="F23" s="202"/>
      <c r="G23" s="375">
        <f>IFERROR($F24/O24,0)</f>
        <v>0.5</v>
      </c>
      <c r="H23" s="375"/>
      <c r="I23" s="376"/>
      <c r="J23" s="203"/>
      <c r="K23" s="204"/>
      <c r="L23" s="377">
        <f>IFERROR($J24/O24,0)</f>
        <v>0.5</v>
      </c>
      <c r="M23" s="377"/>
      <c r="N23" s="378"/>
      <c r="O23" s="205">
        <f>L23+G23</f>
        <v>1</v>
      </c>
    </row>
    <row r="24" spans="1:15" ht="24.95" customHeight="1">
      <c r="A24" s="383"/>
      <c r="B24" s="389"/>
      <c r="C24" s="387"/>
      <c r="D24" s="388"/>
      <c r="E24" s="208" t="s">
        <v>594</v>
      </c>
      <c r="F24" s="379">
        <v>6166.49</v>
      </c>
      <c r="G24" s="380"/>
      <c r="H24" s="380"/>
      <c r="I24" s="381"/>
      <c r="J24" s="372">
        <v>6166.49</v>
      </c>
      <c r="K24" s="373"/>
      <c r="L24" s="373"/>
      <c r="M24" s="373"/>
      <c r="N24" s="374"/>
      <c r="O24" s="209">
        <f>IFERROR(F24+J24,0)</f>
        <v>12332.98</v>
      </c>
    </row>
    <row r="25" spans="1:15" ht="24.95" customHeight="1">
      <c r="A25" s="383"/>
      <c r="B25" s="389">
        <v>5</v>
      </c>
      <c r="C25" s="385" t="s">
        <v>107</v>
      </c>
      <c r="D25" s="386"/>
      <c r="E25" s="201" t="s">
        <v>593</v>
      </c>
      <c r="F25" s="202"/>
      <c r="G25" s="375">
        <f>IFERROR($F26/O26,0)</f>
        <v>0.50000027816334303</v>
      </c>
      <c r="H25" s="375"/>
      <c r="I25" s="376"/>
      <c r="J25" s="203"/>
      <c r="K25" s="204"/>
      <c r="L25" s="377">
        <f>IFERROR($J26/O26,0)</f>
        <v>0.49999972183665686</v>
      </c>
      <c r="M25" s="377"/>
      <c r="N25" s="378"/>
      <c r="O25" s="205">
        <f>L25+G25</f>
        <v>0.99999999999999989</v>
      </c>
    </row>
    <row r="26" spans="1:15" ht="24.95" customHeight="1">
      <c r="A26" s="383"/>
      <c r="B26" s="389"/>
      <c r="C26" s="387"/>
      <c r="D26" s="388"/>
      <c r="E26" s="208" t="s">
        <v>594</v>
      </c>
      <c r="F26" s="379">
        <v>8987.5300000000007</v>
      </c>
      <c r="G26" s="380"/>
      <c r="H26" s="380"/>
      <c r="I26" s="381"/>
      <c r="J26" s="372">
        <v>8987.52</v>
      </c>
      <c r="K26" s="373"/>
      <c r="L26" s="373"/>
      <c r="M26" s="373"/>
      <c r="N26" s="374"/>
      <c r="O26" s="209">
        <f>IFERROR(F26+J26,0)</f>
        <v>17975.050000000003</v>
      </c>
    </row>
    <row r="27" spans="1:15" ht="24.95" customHeight="1">
      <c r="A27" s="383"/>
      <c r="B27" s="389">
        <v>6</v>
      </c>
      <c r="C27" s="385" t="s">
        <v>15</v>
      </c>
      <c r="D27" s="386"/>
      <c r="E27" s="201" t="s">
        <v>593</v>
      </c>
      <c r="F27" s="202"/>
      <c r="G27" s="375">
        <f>IFERROR($F28/O28,0)</f>
        <v>0.49999969684347367</v>
      </c>
      <c r="H27" s="375"/>
      <c r="I27" s="376"/>
      <c r="J27" s="203"/>
      <c r="K27" s="204"/>
      <c r="L27" s="377">
        <f>IFERROR($J28/O28,0)</f>
        <v>0.50000030315652644</v>
      </c>
      <c r="M27" s="377"/>
      <c r="N27" s="378"/>
      <c r="O27" s="205">
        <f>L27+G27</f>
        <v>1</v>
      </c>
    </row>
    <row r="28" spans="1:15" ht="24.95" customHeight="1">
      <c r="A28" s="383"/>
      <c r="B28" s="389"/>
      <c r="C28" s="387"/>
      <c r="D28" s="388"/>
      <c r="E28" s="208" t="s">
        <v>594</v>
      </c>
      <c r="F28" s="379">
        <v>8246.56</v>
      </c>
      <c r="G28" s="380"/>
      <c r="H28" s="380"/>
      <c r="I28" s="381"/>
      <c r="J28" s="372">
        <v>8246.57</v>
      </c>
      <c r="K28" s="373"/>
      <c r="L28" s="373"/>
      <c r="M28" s="373"/>
      <c r="N28" s="374"/>
      <c r="O28" s="209">
        <f>IFERROR(F28+J28,0)</f>
        <v>16493.129999999997</v>
      </c>
    </row>
    <row r="29" spans="1:15" ht="24.95" customHeight="1">
      <c r="A29" s="383"/>
      <c r="B29" s="389">
        <v>7</v>
      </c>
      <c r="C29" s="385" t="s">
        <v>57</v>
      </c>
      <c r="D29" s="386"/>
      <c r="E29" s="201" t="s">
        <v>593</v>
      </c>
      <c r="F29" s="202"/>
      <c r="G29" s="375">
        <f>IFERROR($F30/O30,0)</f>
        <v>0.5</v>
      </c>
      <c r="H29" s="375"/>
      <c r="I29" s="376"/>
      <c r="J29" s="203"/>
      <c r="K29" s="204"/>
      <c r="L29" s="377">
        <f>IFERROR($J30/O30,0)</f>
        <v>0.5</v>
      </c>
      <c r="M29" s="377"/>
      <c r="N29" s="378"/>
      <c r="O29" s="205">
        <f>L29+G29</f>
        <v>1</v>
      </c>
    </row>
    <row r="30" spans="1:15" ht="24.95" customHeight="1">
      <c r="A30" s="383"/>
      <c r="B30" s="389"/>
      <c r="C30" s="387"/>
      <c r="D30" s="388"/>
      <c r="E30" s="208" t="s">
        <v>594</v>
      </c>
      <c r="F30" s="379">
        <v>5670.58</v>
      </c>
      <c r="G30" s="380"/>
      <c r="H30" s="380"/>
      <c r="I30" s="381"/>
      <c r="J30" s="372">
        <v>5670.58</v>
      </c>
      <c r="K30" s="373"/>
      <c r="L30" s="373"/>
      <c r="M30" s="373"/>
      <c r="N30" s="374"/>
      <c r="O30" s="209">
        <f>IFERROR(F30+J30,0)</f>
        <v>11341.16</v>
      </c>
    </row>
    <row r="31" spans="1:15" ht="24.95" customHeight="1">
      <c r="A31" s="383"/>
      <c r="B31" s="389">
        <v>8</v>
      </c>
      <c r="C31" s="385" t="s">
        <v>58</v>
      </c>
      <c r="D31" s="386"/>
      <c r="E31" s="201" t="s">
        <v>593</v>
      </c>
      <c r="F31" s="202"/>
      <c r="G31" s="375">
        <f>IFERROR($F32/O32,0)</f>
        <v>0.5</v>
      </c>
      <c r="H31" s="375"/>
      <c r="I31" s="376"/>
      <c r="J31" s="203"/>
      <c r="K31" s="204"/>
      <c r="L31" s="377">
        <f>IFERROR($J32/O32,0)</f>
        <v>0.5</v>
      </c>
      <c r="M31" s="377"/>
      <c r="N31" s="378"/>
      <c r="O31" s="205">
        <f>L31+G31</f>
        <v>1</v>
      </c>
    </row>
    <row r="32" spans="1:15" ht="24.95" customHeight="1">
      <c r="A32" s="383"/>
      <c r="B32" s="389"/>
      <c r="C32" s="387"/>
      <c r="D32" s="388"/>
      <c r="E32" s="208" t="s">
        <v>594</v>
      </c>
      <c r="F32" s="379">
        <v>19627.650000000001</v>
      </c>
      <c r="G32" s="380"/>
      <c r="H32" s="380"/>
      <c r="I32" s="381"/>
      <c r="J32" s="372">
        <v>19627.650000000001</v>
      </c>
      <c r="K32" s="373"/>
      <c r="L32" s="373"/>
      <c r="M32" s="373"/>
      <c r="N32" s="374"/>
      <c r="O32" s="209">
        <f>IFERROR(F32+J32,0)</f>
        <v>39255.300000000003</v>
      </c>
    </row>
    <row r="33" spans="1:15" ht="24.95" customHeight="1">
      <c r="A33" s="383"/>
      <c r="B33" s="389">
        <v>9</v>
      </c>
      <c r="C33" s="385" t="s">
        <v>59</v>
      </c>
      <c r="D33" s="386"/>
      <c r="E33" s="201" t="s">
        <v>593</v>
      </c>
      <c r="F33" s="202"/>
      <c r="G33" s="375">
        <f>IFERROR($F34/O34,0)</f>
        <v>0.5</v>
      </c>
      <c r="H33" s="375"/>
      <c r="I33" s="376"/>
      <c r="J33" s="203"/>
      <c r="K33" s="204"/>
      <c r="L33" s="377">
        <f>IFERROR($J34/O34,0)</f>
        <v>0.5</v>
      </c>
      <c r="M33" s="377"/>
      <c r="N33" s="378"/>
      <c r="O33" s="205">
        <f>L33+G33</f>
        <v>1</v>
      </c>
    </row>
    <row r="34" spans="1:15" ht="24.95" customHeight="1">
      <c r="A34" s="383"/>
      <c r="B34" s="389"/>
      <c r="C34" s="387"/>
      <c r="D34" s="388"/>
      <c r="E34" s="208" t="s">
        <v>594</v>
      </c>
      <c r="F34" s="379">
        <v>282.49</v>
      </c>
      <c r="G34" s="380"/>
      <c r="H34" s="380"/>
      <c r="I34" s="381"/>
      <c r="J34" s="372">
        <v>282.49</v>
      </c>
      <c r="K34" s="373"/>
      <c r="L34" s="373"/>
      <c r="M34" s="373"/>
      <c r="N34" s="374"/>
      <c r="O34" s="209">
        <f>IFERROR(F34+J34,0)</f>
        <v>564.98</v>
      </c>
    </row>
    <row r="35" spans="1:15" ht="24.95" customHeight="1">
      <c r="A35" s="383"/>
      <c r="B35" s="389">
        <v>10</v>
      </c>
      <c r="C35" s="385" t="s">
        <v>63</v>
      </c>
      <c r="D35" s="386"/>
      <c r="E35" s="201" t="s">
        <v>593</v>
      </c>
      <c r="F35" s="202"/>
      <c r="G35" s="375">
        <f>IFERROR($F36/O36,0)</f>
        <v>0.5</v>
      </c>
      <c r="H35" s="375"/>
      <c r="I35" s="376"/>
      <c r="J35" s="203"/>
      <c r="K35" s="204"/>
      <c r="L35" s="377">
        <f>IFERROR($J36/O36,0)</f>
        <v>0.5</v>
      </c>
      <c r="M35" s="377"/>
      <c r="N35" s="378"/>
      <c r="O35" s="205">
        <f>L35+G35</f>
        <v>1</v>
      </c>
    </row>
    <row r="36" spans="1:15" ht="24.95" customHeight="1">
      <c r="A36" s="383"/>
      <c r="B36" s="389"/>
      <c r="C36" s="387"/>
      <c r="D36" s="388"/>
      <c r="E36" s="208" t="s">
        <v>594</v>
      </c>
      <c r="F36" s="379">
        <v>14776.3</v>
      </c>
      <c r="G36" s="380"/>
      <c r="H36" s="380"/>
      <c r="I36" s="381"/>
      <c r="J36" s="372">
        <v>14776.3</v>
      </c>
      <c r="K36" s="373"/>
      <c r="L36" s="373"/>
      <c r="M36" s="373"/>
      <c r="N36" s="374"/>
      <c r="O36" s="209">
        <f>IFERROR(F36+J36,0)</f>
        <v>29552.6</v>
      </c>
    </row>
    <row r="37" spans="1:15" ht="24.95" customHeight="1">
      <c r="A37" s="383"/>
      <c r="B37" s="389">
        <v>11</v>
      </c>
      <c r="C37" s="385" t="s">
        <v>28</v>
      </c>
      <c r="D37" s="386"/>
      <c r="E37" s="201" t="s">
        <v>593</v>
      </c>
      <c r="F37" s="202"/>
      <c r="G37" s="375">
        <f>IFERROR($F38/O38,0)</f>
        <v>0.49999959202756589</v>
      </c>
      <c r="H37" s="375"/>
      <c r="I37" s="376"/>
      <c r="J37" s="203"/>
      <c r="K37" s="204"/>
      <c r="L37" s="377">
        <f>IFERROR($J38/O38,0)</f>
        <v>0.50000040797243417</v>
      </c>
      <c r="M37" s="377"/>
      <c r="N37" s="378"/>
      <c r="O37" s="205">
        <f>L37+G37</f>
        <v>1</v>
      </c>
    </row>
    <row r="38" spans="1:15" ht="24.95" customHeight="1">
      <c r="A38" s="383"/>
      <c r="B38" s="389"/>
      <c r="C38" s="387"/>
      <c r="D38" s="388"/>
      <c r="E38" s="208" t="s">
        <v>594</v>
      </c>
      <c r="F38" s="379">
        <v>6127.86</v>
      </c>
      <c r="G38" s="380"/>
      <c r="H38" s="380"/>
      <c r="I38" s="381"/>
      <c r="J38" s="372">
        <v>6127.87</v>
      </c>
      <c r="K38" s="373"/>
      <c r="L38" s="373"/>
      <c r="M38" s="373"/>
      <c r="N38" s="374"/>
      <c r="O38" s="209">
        <f>IFERROR(F38+J38,0)</f>
        <v>12255.73</v>
      </c>
    </row>
    <row r="39" spans="1:15" ht="24.95" customHeight="1">
      <c r="A39" s="383"/>
      <c r="B39" s="389">
        <v>12</v>
      </c>
      <c r="C39" s="385" t="s">
        <v>67</v>
      </c>
      <c r="D39" s="386"/>
      <c r="E39" s="201" t="s">
        <v>593</v>
      </c>
      <c r="F39" s="202"/>
      <c r="G39" s="375">
        <f>IFERROR($F40/O40,0)</f>
        <v>0.5</v>
      </c>
      <c r="H39" s="375"/>
      <c r="I39" s="376"/>
      <c r="J39" s="203"/>
      <c r="K39" s="204"/>
      <c r="L39" s="377">
        <f>IFERROR($J40/O40,0)</f>
        <v>0.5</v>
      </c>
      <c r="M39" s="377"/>
      <c r="N39" s="378"/>
      <c r="O39" s="205">
        <f>L39+G39</f>
        <v>1</v>
      </c>
    </row>
    <row r="40" spans="1:15" ht="24.95" customHeight="1">
      <c r="A40" s="383"/>
      <c r="B40" s="389"/>
      <c r="C40" s="387"/>
      <c r="D40" s="388"/>
      <c r="E40" s="208" t="s">
        <v>594</v>
      </c>
      <c r="F40" s="379">
        <v>1407.43</v>
      </c>
      <c r="G40" s="380"/>
      <c r="H40" s="380"/>
      <c r="I40" s="381"/>
      <c r="J40" s="372">
        <v>1407.43</v>
      </c>
      <c r="K40" s="373"/>
      <c r="L40" s="373"/>
      <c r="M40" s="373"/>
      <c r="N40" s="374"/>
      <c r="O40" s="209">
        <f>IFERROR(F40+J40,0)</f>
        <v>2814.86</v>
      </c>
    </row>
    <row r="41" spans="1:15" ht="24.95" customHeight="1">
      <c r="A41" s="383"/>
      <c r="B41" s="389">
        <v>13</v>
      </c>
      <c r="C41" s="385" t="s">
        <v>196</v>
      </c>
      <c r="D41" s="386"/>
      <c r="E41" s="201" t="s">
        <v>593</v>
      </c>
      <c r="F41" s="202"/>
      <c r="G41" s="375">
        <f>IFERROR($F42/O42,0)</f>
        <v>0.50000041617038349</v>
      </c>
      <c r="H41" s="375"/>
      <c r="I41" s="376"/>
      <c r="J41" s="203"/>
      <c r="K41" s="204"/>
      <c r="L41" s="377">
        <f>IFERROR($J42/O42,0)</f>
        <v>0.49999958382961651</v>
      </c>
      <c r="M41" s="377"/>
      <c r="N41" s="378"/>
      <c r="O41" s="205">
        <f>L41+G41</f>
        <v>1</v>
      </c>
    </row>
    <row r="42" spans="1:15" ht="24.95" customHeight="1">
      <c r="A42" s="383"/>
      <c r="B42" s="389"/>
      <c r="C42" s="387"/>
      <c r="D42" s="388"/>
      <c r="E42" s="208" t="s">
        <v>594</v>
      </c>
      <c r="F42" s="379">
        <v>6007.16</v>
      </c>
      <c r="G42" s="380"/>
      <c r="H42" s="380"/>
      <c r="I42" s="381"/>
      <c r="J42" s="372">
        <v>6007.15</v>
      </c>
      <c r="K42" s="373"/>
      <c r="L42" s="373"/>
      <c r="M42" s="373"/>
      <c r="N42" s="374"/>
      <c r="O42" s="209">
        <f>IFERROR(F42+J42,0)</f>
        <v>12014.31</v>
      </c>
    </row>
    <row r="43" spans="1:15" ht="24.95" customHeight="1">
      <c r="A43" s="383"/>
      <c r="B43" s="389">
        <v>14</v>
      </c>
      <c r="C43" s="385" t="s">
        <v>76</v>
      </c>
      <c r="D43" s="386"/>
      <c r="E43" s="201" t="s">
        <v>593</v>
      </c>
      <c r="F43" s="202"/>
      <c r="G43" s="375">
        <f>IFERROR($F44/O44,0)</f>
        <v>0.50000027939001346</v>
      </c>
      <c r="H43" s="375"/>
      <c r="I43" s="376"/>
      <c r="J43" s="203"/>
      <c r="K43" s="204"/>
      <c r="L43" s="377">
        <f>IFERROR($J44/O44,0)</f>
        <v>0.49999972060998665</v>
      </c>
      <c r="M43" s="377"/>
      <c r="N43" s="378"/>
      <c r="O43" s="205">
        <f>L43+G43</f>
        <v>1</v>
      </c>
    </row>
    <row r="44" spans="1:15" ht="24.95" customHeight="1">
      <c r="A44" s="383"/>
      <c r="B44" s="389"/>
      <c r="C44" s="387"/>
      <c r="D44" s="388"/>
      <c r="E44" s="208" t="s">
        <v>594</v>
      </c>
      <c r="F44" s="379">
        <v>8948.07</v>
      </c>
      <c r="G44" s="380"/>
      <c r="H44" s="380"/>
      <c r="I44" s="381"/>
      <c r="J44" s="372">
        <v>8948.06</v>
      </c>
      <c r="K44" s="373"/>
      <c r="L44" s="373"/>
      <c r="M44" s="373"/>
      <c r="N44" s="374"/>
      <c r="O44" s="209">
        <f>IFERROR(F44+J44,0)</f>
        <v>17896.129999999997</v>
      </c>
    </row>
    <row r="45" spans="1:15" ht="24.95" customHeight="1">
      <c r="A45" s="383"/>
      <c r="B45" s="389">
        <v>15</v>
      </c>
      <c r="C45" s="385" t="s">
        <v>125</v>
      </c>
      <c r="D45" s="386"/>
      <c r="E45" s="201" t="s">
        <v>593</v>
      </c>
      <c r="F45" s="202"/>
      <c r="G45" s="375">
        <f>IFERROR($F46/O46,0)</f>
        <v>0.49999985686365955</v>
      </c>
      <c r="H45" s="375"/>
      <c r="I45" s="376"/>
      <c r="J45" s="203"/>
      <c r="K45" s="204"/>
      <c r="L45" s="377">
        <f>IFERROR($J46/O46,0)</f>
        <v>0.50000014313634056</v>
      </c>
      <c r="M45" s="377"/>
      <c r="N45" s="378"/>
      <c r="O45" s="205">
        <f>L45+G45</f>
        <v>1</v>
      </c>
    </row>
    <row r="46" spans="1:15" ht="24.95" customHeight="1">
      <c r="A46" s="383"/>
      <c r="B46" s="389"/>
      <c r="C46" s="387"/>
      <c r="D46" s="388"/>
      <c r="E46" s="208" t="s">
        <v>594</v>
      </c>
      <c r="F46" s="372">
        <v>17465.86</v>
      </c>
      <c r="G46" s="373"/>
      <c r="H46" s="373"/>
      <c r="I46" s="373"/>
      <c r="J46" s="372">
        <v>17465.87</v>
      </c>
      <c r="K46" s="373"/>
      <c r="L46" s="373"/>
      <c r="M46" s="373"/>
      <c r="N46" s="374"/>
      <c r="O46" s="209">
        <f>IFERROR(F46+J46,0)</f>
        <v>34931.729999999996</v>
      </c>
    </row>
    <row r="47" spans="1:15" ht="24.95" customHeight="1">
      <c r="A47" s="383"/>
      <c r="B47" s="389">
        <v>16</v>
      </c>
      <c r="C47" s="385" t="s">
        <v>439</v>
      </c>
      <c r="D47" s="386"/>
      <c r="E47" s="201" t="s">
        <v>593</v>
      </c>
      <c r="F47" s="202"/>
      <c r="G47" s="375">
        <f>IFERROR($F48/O48,0)</f>
        <v>0.5</v>
      </c>
      <c r="H47" s="375"/>
      <c r="I47" s="376"/>
      <c r="J47" s="203"/>
      <c r="K47" s="204"/>
      <c r="L47" s="377">
        <f>IFERROR($J48/O48,0)</f>
        <v>0.5</v>
      </c>
      <c r="M47" s="377"/>
      <c r="N47" s="378"/>
      <c r="O47" s="205">
        <f>L47+G47</f>
        <v>1</v>
      </c>
    </row>
    <row r="48" spans="1:15" ht="24.95" customHeight="1">
      <c r="A48" s="383"/>
      <c r="B48" s="389"/>
      <c r="C48" s="387"/>
      <c r="D48" s="388"/>
      <c r="E48" s="208" t="s">
        <v>594</v>
      </c>
      <c r="F48" s="379">
        <v>11287.89</v>
      </c>
      <c r="G48" s="380"/>
      <c r="H48" s="380"/>
      <c r="I48" s="381"/>
      <c r="J48" s="372">
        <v>11287.89</v>
      </c>
      <c r="K48" s="373"/>
      <c r="L48" s="373"/>
      <c r="M48" s="373"/>
      <c r="N48" s="374"/>
      <c r="O48" s="209">
        <f>IFERROR(F48+J48,0)</f>
        <v>22575.78</v>
      </c>
    </row>
    <row r="49" spans="1:15" ht="24.95" customHeight="1">
      <c r="A49" s="383"/>
      <c r="B49" s="389">
        <v>17</v>
      </c>
      <c r="C49" s="385" t="s">
        <v>29</v>
      </c>
      <c r="D49" s="386"/>
      <c r="E49" s="201" t="s">
        <v>593</v>
      </c>
      <c r="F49" s="202"/>
      <c r="G49" s="375">
        <f>IFERROR($F50/O50,0)</f>
        <v>0.49999421128798843</v>
      </c>
      <c r="H49" s="375"/>
      <c r="I49" s="376"/>
      <c r="J49" s="203"/>
      <c r="K49" s="204"/>
      <c r="L49" s="377">
        <f>IFERROR($J50/O50,0)</f>
        <v>0.50000578871201162</v>
      </c>
      <c r="M49" s="377"/>
      <c r="N49" s="378"/>
      <c r="O49" s="205">
        <f>L49+G49</f>
        <v>1</v>
      </c>
    </row>
    <row r="50" spans="1:15" ht="24.95" customHeight="1">
      <c r="A50" s="384"/>
      <c r="B50" s="389"/>
      <c r="C50" s="387"/>
      <c r="D50" s="388"/>
      <c r="E50" s="208" t="s">
        <v>594</v>
      </c>
      <c r="F50" s="379">
        <v>431.87</v>
      </c>
      <c r="G50" s="380"/>
      <c r="H50" s="380"/>
      <c r="I50" s="381"/>
      <c r="J50" s="372">
        <v>431.88</v>
      </c>
      <c r="K50" s="373"/>
      <c r="L50" s="373"/>
      <c r="M50" s="373"/>
      <c r="N50" s="374"/>
      <c r="O50" s="209">
        <f>IFERROR(F50+J50,0)</f>
        <v>863.75</v>
      </c>
    </row>
    <row r="51" spans="1:15" ht="24.95" customHeight="1">
      <c r="A51" s="382" t="s">
        <v>463</v>
      </c>
      <c r="B51" s="389">
        <v>1</v>
      </c>
      <c r="C51" s="385" t="s">
        <v>604</v>
      </c>
      <c r="D51" s="386"/>
      <c r="E51" s="201" t="s">
        <v>593</v>
      </c>
      <c r="F51" s="202"/>
      <c r="G51" s="375">
        <f>IFERROR($F52/O52,0)</f>
        <v>0.5</v>
      </c>
      <c r="H51" s="375"/>
      <c r="I51" s="376"/>
      <c r="J51" s="203"/>
      <c r="K51" s="204"/>
      <c r="L51" s="377">
        <f>IFERROR($J52/O52,0)</f>
        <v>0.5</v>
      </c>
      <c r="M51" s="377"/>
      <c r="N51" s="378"/>
      <c r="O51" s="205">
        <f>L51+G51</f>
        <v>1</v>
      </c>
    </row>
    <row r="52" spans="1:15" ht="24.95" customHeight="1">
      <c r="A52" s="383"/>
      <c r="B52" s="389"/>
      <c r="C52" s="387"/>
      <c r="D52" s="388"/>
      <c r="E52" s="208" t="s">
        <v>594</v>
      </c>
      <c r="F52" s="379">
        <v>1028.03</v>
      </c>
      <c r="G52" s="380"/>
      <c r="H52" s="380"/>
      <c r="I52" s="381"/>
      <c r="J52" s="372">
        <v>1028.03</v>
      </c>
      <c r="K52" s="373"/>
      <c r="L52" s="373"/>
      <c r="M52" s="373"/>
      <c r="N52" s="374"/>
      <c r="O52" s="209">
        <f>IFERROR(F52+J52,0)</f>
        <v>2056.06</v>
      </c>
    </row>
    <row r="53" spans="1:15" ht="24.95" customHeight="1">
      <c r="A53" s="383"/>
      <c r="B53" s="389">
        <v>2</v>
      </c>
      <c r="C53" s="385" t="s">
        <v>56</v>
      </c>
      <c r="D53" s="386"/>
      <c r="E53" s="201" t="s">
        <v>593</v>
      </c>
      <c r="F53" s="202"/>
      <c r="G53" s="375">
        <f>IFERROR($F54/O54,0)</f>
        <v>0.5</v>
      </c>
      <c r="H53" s="375"/>
      <c r="I53" s="376"/>
      <c r="J53" s="203"/>
      <c r="K53" s="204"/>
      <c r="L53" s="377">
        <f>IFERROR($J54/O54,0)</f>
        <v>0.5</v>
      </c>
      <c r="M53" s="377"/>
      <c r="N53" s="378"/>
      <c r="O53" s="205">
        <f>L53+G53</f>
        <v>1</v>
      </c>
    </row>
    <row r="54" spans="1:15" ht="24.95" customHeight="1">
      <c r="A54" s="383"/>
      <c r="B54" s="389"/>
      <c r="C54" s="387"/>
      <c r="D54" s="388"/>
      <c r="E54" s="208" t="s">
        <v>594</v>
      </c>
      <c r="F54" s="379">
        <v>2778.45</v>
      </c>
      <c r="G54" s="380"/>
      <c r="H54" s="380"/>
      <c r="I54" s="381"/>
      <c r="J54" s="372">
        <v>2778.45</v>
      </c>
      <c r="K54" s="373"/>
      <c r="L54" s="373"/>
      <c r="M54" s="373"/>
      <c r="N54" s="374"/>
      <c r="O54" s="209">
        <f>IFERROR(F54+J54,0)</f>
        <v>5556.9</v>
      </c>
    </row>
    <row r="55" spans="1:15" ht="24.95" customHeight="1">
      <c r="A55" s="383"/>
      <c r="B55" s="389">
        <v>3</v>
      </c>
      <c r="C55" s="385" t="s">
        <v>563</v>
      </c>
      <c r="D55" s="386"/>
      <c r="E55" s="201" t="s">
        <v>593</v>
      </c>
      <c r="F55" s="202"/>
      <c r="G55" s="375">
        <f>IFERROR($F56/O56,0)</f>
        <v>0.5</v>
      </c>
      <c r="H55" s="375"/>
      <c r="I55" s="376"/>
      <c r="J55" s="203"/>
      <c r="K55" s="204"/>
      <c r="L55" s="377">
        <f>IFERROR($J56/O56,0)</f>
        <v>0.5</v>
      </c>
      <c r="M55" s="377"/>
      <c r="N55" s="378"/>
      <c r="O55" s="205">
        <f>L55+G55</f>
        <v>1</v>
      </c>
    </row>
    <row r="56" spans="1:15" ht="24.95" customHeight="1">
      <c r="A56" s="383"/>
      <c r="B56" s="389"/>
      <c r="C56" s="387"/>
      <c r="D56" s="388"/>
      <c r="E56" s="208" t="s">
        <v>594</v>
      </c>
      <c r="F56" s="379">
        <v>8135.7</v>
      </c>
      <c r="G56" s="380"/>
      <c r="H56" s="380"/>
      <c r="I56" s="381"/>
      <c r="J56" s="372">
        <v>8135.7</v>
      </c>
      <c r="K56" s="373"/>
      <c r="L56" s="373"/>
      <c r="M56" s="373"/>
      <c r="N56" s="374"/>
      <c r="O56" s="209">
        <f>IFERROR(F56+J56,0)</f>
        <v>16271.4</v>
      </c>
    </row>
    <row r="57" spans="1:15" ht="24.95" customHeight="1">
      <c r="A57" s="383"/>
      <c r="B57" s="389">
        <v>4</v>
      </c>
      <c r="C57" s="385" t="s">
        <v>605</v>
      </c>
      <c r="D57" s="386"/>
      <c r="E57" s="201" t="s">
        <v>593</v>
      </c>
      <c r="F57" s="202"/>
      <c r="G57" s="375">
        <f>IFERROR($F58/O58,0)</f>
        <v>0.5</v>
      </c>
      <c r="H57" s="375"/>
      <c r="I57" s="376"/>
      <c r="J57" s="203"/>
      <c r="K57" s="204"/>
      <c r="L57" s="377">
        <f>IFERROR($J58/O58,0)</f>
        <v>0.5</v>
      </c>
      <c r="M57" s="377"/>
      <c r="N57" s="378"/>
      <c r="O57" s="205">
        <f>L57+G57</f>
        <v>1</v>
      </c>
    </row>
    <row r="58" spans="1:15" ht="24.95" customHeight="1">
      <c r="A58" s="383"/>
      <c r="B58" s="389"/>
      <c r="C58" s="387"/>
      <c r="D58" s="388"/>
      <c r="E58" s="208" t="s">
        <v>594</v>
      </c>
      <c r="F58" s="379">
        <v>78867.509999999995</v>
      </c>
      <c r="G58" s="380"/>
      <c r="H58" s="380"/>
      <c r="I58" s="381"/>
      <c r="J58" s="372">
        <v>78867.509999999995</v>
      </c>
      <c r="K58" s="373"/>
      <c r="L58" s="373"/>
      <c r="M58" s="373"/>
      <c r="N58" s="374"/>
      <c r="O58" s="209">
        <f>IFERROR(F58+J58,0)</f>
        <v>157735.01999999999</v>
      </c>
    </row>
    <row r="59" spans="1:15" ht="24.95" customHeight="1">
      <c r="A59" s="383"/>
      <c r="B59" s="389">
        <v>5</v>
      </c>
      <c r="C59" s="385" t="s">
        <v>565</v>
      </c>
      <c r="D59" s="386"/>
      <c r="E59" s="201" t="s">
        <v>593</v>
      </c>
      <c r="F59" s="202"/>
      <c r="G59" s="375">
        <f>IFERROR($F60/O60,0)</f>
        <v>0.5</v>
      </c>
      <c r="H59" s="375"/>
      <c r="I59" s="376"/>
      <c r="J59" s="203"/>
      <c r="K59" s="204"/>
      <c r="L59" s="377">
        <f>IFERROR($J60/O60,0)</f>
        <v>0.5</v>
      </c>
      <c r="M59" s="377"/>
      <c r="N59" s="378"/>
      <c r="O59" s="205">
        <f>L59+G59</f>
        <v>1</v>
      </c>
    </row>
    <row r="60" spans="1:15" ht="24.95" customHeight="1">
      <c r="A60" s="383"/>
      <c r="B60" s="389"/>
      <c r="C60" s="387"/>
      <c r="D60" s="388"/>
      <c r="E60" s="208" t="s">
        <v>594</v>
      </c>
      <c r="F60" s="379">
        <v>14093.9</v>
      </c>
      <c r="G60" s="380"/>
      <c r="H60" s="380"/>
      <c r="I60" s="381"/>
      <c r="J60" s="372">
        <v>14093.9</v>
      </c>
      <c r="K60" s="373"/>
      <c r="L60" s="373"/>
      <c r="M60" s="373"/>
      <c r="N60" s="374"/>
      <c r="O60" s="209">
        <f>IFERROR(F60+J60,0)</f>
        <v>28187.8</v>
      </c>
    </row>
    <row r="61" spans="1:15" ht="24.95" customHeight="1">
      <c r="A61" s="383"/>
      <c r="B61" s="389">
        <v>6</v>
      </c>
      <c r="C61" s="385" t="s">
        <v>570</v>
      </c>
      <c r="D61" s="386"/>
      <c r="E61" s="201" t="s">
        <v>593</v>
      </c>
      <c r="F61" s="202"/>
      <c r="G61" s="375">
        <f>IFERROR($F62/O62,0)</f>
        <v>0.5</v>
      </c>
      <c r="H61" s="375"/>
      <c r="I61" s="376"/>
      <c r="J61" s="203"/>
      <c r="K61" s="204"/>
      <c r="L61" s="377">
        <f>IFERROR($J62/O62,0)</f>
        <v>0.5</v>
      </c>
      <c r="M61" s="377"/>
      <c r="N61" s="378"/>
      <c r="O61" s="205">
        <f>L61+G61</f>
        <v>1</v>
      </c>
    </row>
    <row r="62" spans="1:15" ht="24.95" customHeight="1">
      <c r="A62" s="383"/>
      <c r="B62" s="389"/>
      <c r="C62" s="387"/>
      <c r="D62" s="388"/>
      <c r="E62" s="208" t="s">
        <v>594</v>
      </c>
      <c r="F62" s="379">
        <v>11307.22</v>
      </c>
      <c r="G62" s="380"/>
      <c r="H62" s="380"/>
      <c r="I62" s="381"/>
      <c r="J62" s="372">
        <v>11307.22</v>
      </c>
      <c r="K62" s="373"/>
      <c r="L62" s="373"/>
      <c r="M62" s="373"/>
      <c r="N62" s="374"/>
      <c r="O62" s="209">
        <f>IFERROR(F62+J62,0)</f>
        <v>22614.44</v>
      </c>
    </row>
    <row r="63" spans="1:15" ht="24.95" customHeight="1">
      <c r="A63" s="383"/>
      <c r="B63" s="389">
        <v>7</v>
      </c>
      <c r="C63" s="385" t="s">
        <v>566</v>
      </c>
      <c r="D63" s="386"/>
      <c r="E63" s="201" t="s">
        <v>593</v>
      </c>
      <c r="F63" s="202"/>
      <c r="G63" s="375">
        <f>IFERROR($F64/O64,0)</f>
        <v>0.5</v>
      </c>
      <c r="H63" s="375"/>
      <c r="I63" s="376"/>
      <c r="J63" s="203"/>
      <c r="K63" s="204"/>
      <c r="L63" s="377">
        <f>IFERROR($J64/O64,0)</f>
        <v>0.5</v>
      </c>
      <c r="M63" s="377"/>
      <c r="N63" s="378"/>
      <c r="O63" s="205">
        <f>L63+G63</f>
        <v>1</v>
      </c>
    </row>
    <row r="64" spans="1:15" ht="24.95" customHeight="1">
      <c r="A64" s="383"/>
      <c r="B64" s="389"/>
      <c r="C64" s="387"/>
      <c r="D64" s="388"/>
      <c r="E64" s="208" t="s">
        <v>594</v>
      </c>
      <c r="F64" s="379">
        <v>20695.75</v>
      </c>
      <c r="G64" s="380"/>
      <c r="H64" s="380"/>
      <c r="I64" s="381"/>
      <c r="J64" s="372">
        <v>20695.75</v>
      </c>
      <c r="K64" s="373"/>
      <c r="L64" s="373"/>
      <c r="M64" s="373"/>
      <c r="N64" s="374"/>
      <c r="O64" s="209">
        <f>IFERROR(F64+J64,0)</f>
        <v>41391.5</v>
      </c>
    </row>
    <row r="65" spans="1:24" ht="24.95" customHeight="1">
      <c r="A65" s="383"/>
      <c r="B65" s="389">
        <v>8</v>
      </c>
      <c r="C65" s="385" t="s">
        <v>567</v>
      </c>
      <c r="D65" s="386"/>
      <c r="E65" s="201" t="s">
        <v>593</v>
      </c>
      <c r="F65" s="202"/>
      <c r="G65" s="375">
        <f>IFERROR($F66/O66,0)</f>
        <v>0.5000000713763546</v>
      </c>
      <c r="H65" s="375"/>
      <c r="I65" s="376"/>
      <c r="J65" s="203"/>
      <c r="K65" s="204"/>
      <c r="L65" s="377">
        <f>IFERROR($J66/O66,0)</f>
        <v>0.49999992862364551</v>
      </c>
      <c r="M65" s="377"/>
      <c r="N65" s="378"/>
      <c r="O65" s="205">
        <f>L65+G65</f>
        <v>1</v>
      </c>
    </row>
    <row r="66" spans="1:24" ht="24.95" customHeight="1">
      <c r="A66" s="383"/>
      <c r="B66" s="389"/>
      <c r="C66" s="387"/>
      <c r="D66" s="388"/>
      <c r="E66" s="208" t="s">
        <v>594</v>
      </c>
      <c r="F66" s="379">
        <v>35025.61</v>
      </c>
      <c r="G66" s="380"/>
      <c r="H66" s="380"/>
      <c r="I66" s="381"/>
      <c r="J66" s="372">
        <v>35025.599999999999</v>
      </c>
      <c r="K66" s="373"/>
      <c r="L66" s="373"/>
      <c r="M66" s="373"/>
      <c r="N66" s="374"/>
      <c r="O66" s="209">
        <f>IFERROR(F66+J66,0)</f>
        <v>70051.209999999992</v>
      </c>
    </row>
    <row r="67" spans="1:24" ht="24.95" customHeight="1">
      <c r="A67" s="383"/>
      <c r="B67" s="389">
        <v>9</v>
      </c>
      <c r="C67" s="385" t="s">
        <v>568</v>
      </c>
      <c r="D67" s="386"/>
      <c r="E67" s="201" t="s">
        <v>593</v>
      </c>
      <c r="F67" s="202"/>
      <c r="G67" s="375">
        <f>IFERROR($F68/O68,0)</f>
        <v>0.50000009771986331</v>
      </c>
      <c r="H67" s="375"/>
      <c r="I67" s="376"/>
      <c r="J67" s="203"/>
      <c r="K67" s="204"/>
      <c r="L67" s="377">
        <f>IFERROR($J68/O68,0)</f>
        <v>0.49999990228013669</v>
      </c>
      <c r="M67" s="377"/>
      <c r="N67" s="378"/>
      <c r="O67" s="205">
        <f>L67+G67</f>
        <v>1</v>
      </c>
    </row>
    <row r="68" spans="1:24" ht="24.95" customHeight="1">
      <c r="A68" s="383"/>
      <c r="B68" s="389"/>
      <c r="C68" s="387"/>
      <c r="D68" s="388"/>
      <c r="E68" s="208" t="s">
        <v>594</v>
      </c>
      <c r="F68" s="379">
        <v>25583.34</v>
      </c>
      <c r="G68" s="380"/>
      <c r="H68" s="380"/>
      <c r="I68" s="381"/>
      <c r="J68" s="372">
        <v>25583.33</v>
      </c>
      <c r="K68" s="373"/>
      <c r="L68" s="373"/>
      <c r="M68" s="373"/>
      <c r="N68" s="374"/>
      <c r="O68" s="209">
        <f>IFERROR(F68+J68,0)</f>
        <v>51166.67</v>
      </c>
    </row>
    <row r="69" spans="1:24" ht="24.95" customHeight="1">
      <c r="A69" s="383"/>
      <c r="B69" s="389">
        <v>10</v>
      </c>
      <c r="C69" s="385" t="s">
        <v>606</v>
      </c>
      <c r="D69" s="386"/>
      <c r="E69" s="201" t="s">
        <v>593</v>
      </c>
      <c r="F69" s="202"/>
      <c r="G69" s="375">
        <f>IFERROR($F70/O70,0)</f>
        <v>0.5</v>
      </c>
      <c r="H69" s="375"/>
      <c r="I69" s="376"/>
      <c r="J69" s="203"/>
      <c r="K69" s="204"/>
      <c r="L69" s="377">
        <f>IFERROR($J70/O70,0)</f>
        <v>0.5</v>
      </c>
      <c r="M69" s="377"/>
      <c r="N69" s="378"/>
      <c r="O69" s="205">
        <f>L69+G69</f>
        <v>1</v>
      </c>
    </row>
    <row r="70" spans="1:24" ht="24.95" customHeight="1">
      <c r="A70" s="384"/>
      <c r="B70" s="389"/>
      <c r="C70" s="387"/>
      <c r="D70" s="388"/>
      <c r="E70" s="208" t="s">
        <v>594</v>
      </c>
      <c r="F70" s="379">
        <v>13424.59</v>
      </c>
      <c r="G70" s="380"/>
      <c r="H70" s="380"/>
      <c r="I70" s="381"/>
      <c r="J70" s="372">
        <v>13424.59</v>
      </c>
      <c r="K70" s="373"/>
      <c r="L70" s="373"/>
      <c r="M70" s="373"/>
      <c r="N70" s="374"/>
      <c r="O70" s="209">
        <f>IFERROR(F70+J70,0)</f>
        <v>26849.18</v>
      </c>
    </row>
    <row r="71" spans="1:24">
      <c r="A71" s="232"/>
      <c r="B71" s="412"/>
      <c r="C71" s="412"/>
      <c r="D71" s="412"/>
      <c r="E71" s="412"/>
      <c r="F71" s="413"/>
      <c r="G71" s="414"/>
      <c r="H71" s="414"/>
      <c r="I71" s="414"/>
      <c r="J71" s="414"/>
      <c r="K71" s="414"/>
      <c r="L71" s="414"/>
      <c r="M71" s="414"/>
      <c r="N71" s="415"/>
      <c r="O71" s="210"/>
      <c r="P71" s="161"/>
      <c r="R71" s="211"/>
      <c r="S71" s="211"/>
      <c r="T71" s="211"/>
      <c r="U71" s="211"/>
      <c r="V71" s="212"/>
      <c r="W71" s="163"/>
      <c r="X71" s="163"/>
    </row>
    <row r="72" spans="1:24" ht="30" customHeight="1">
      <c r="A72" s="232"/>
      <c r="B72" s="403" t="s">
        <v>595</v>
      </c>
      <c r="C72" s="403"/>
      <c r="D72" s="403"/>
      <c r="E72" s="403"/>
      <c r="F72" s="409">
        <f>IFERROR(F74-F73,"")</f>
        <v>297309.43000000005</v>
      </c>
      <c r="G72" s="410"/>
      <c r="H72" s="410"/>
      <c r="I72" s="411"/>
      <c r="J72" s="409">
        <f>IFERROR(J74-J73,"")</f>
        <v>297309.42000000004</v>
      </c>
      <c r="K72" s="410"/>
      <c r="L72" s="410"/>
      <c r="M72" s="410"/>
      <c r="N72" s="411"/>
      <c r="O72" s="213">
        <f>IFERROR(F72+J72,"")</f>
        <v>594618.85000000009</v>
      </c>
      <c r="P72" s="161"/>
      <c r="R72" s="211"/>
      <c r="S72" s="211"/>
      <c r="T72" s="211"/>
      <c r="U72" s="211"/>
      <c r="V72" s="212"/>
      <c r="W72" s="163"/>
      <c r="X72" s="163"/>
    </row>
    <row r="73" spans="1:24" ht="30" customHeight="1">
      <c r="A73" s="232"/>
      <c r="B73" s="403" t="s">
        <v>596</v>
      </c>
      <c r="C73" s="403"/>
      <c r="D73" s="403"/>
      <c r="E73" s="403"/>
      <c r="F73" s="404">
        <v>41650.78</v>
      </c>
      <c r="G73" s="405"/>
      <c r="H73" s="405"/>
      <c r="I73" s="405"/>
      <c r="J73" s="406">
        <v>41650.78</v>
      </c>
      <c r="K73" s="407"/>
      <c r="L73" s="407"/>
      <c r="M73" s="407"/>
      <c r="N73" s="408"/>
      <c r="O73" s="214">
        <f>IFERROR(F73+J73,"")</f>
        <v>83301.56</v>
      </c>
      <c r="P73" s="161"/>
      <c r="R73" s="162"/>
      <c r="S73" s="211"/>
      <c r="T73" s="211"/>
      <c r="U73" s="211"/>
      <c r="V73" s="212"/>
      <c r="W73" s="163"/>
      <c r="X73" s="163"/>
    </row>
    <row r="74" spans="1:24" ht="35.1" customHeight="1">
      <c r="A74" s="232"/>
      <c r="B74" s="403" t="s">
        <v>597</v>
      </c>
      <c r="C74" s="403"/>
      <c r="D74" s="403"/>
      <c r="E74" s="403"/>
      <c r="F74" s="409">
        <f>SUMIF(F17:F70,"&gt;0")</f>
        <v>338960.21</v>
      </c>
      <c r="G74" s="410"/>
      <c r="H74" s="410"/>
      <c r="I74" s="411"/>
      <c r="J74" s="409">
        <f>SUMIF(J17:J70,"&gt;0")</f>
        <v>338960.2</v>
      </c>
      <c r="K74" s="410"/>
      <c r="L74" s="410"/>
      <c r="M74" s="410"/>
      <c r="N74" s="411"/>
      <c r="O74" s="215">
        <f>IFERROR(F74+J74,"")</f>
        <v>677920.41</v>
      </c>
      <c r="P74" s="161"/>
      <c r="R74" s="216"/>
      <c r="S74" s="162"/>
      <c r="T74" s="162"/>
      <c r="U74" s="162"/>
      <c r="V74" s="163"/>
      <c r="W74" s="163"/>
      <c r="X74" s="163"/>
    </row>
    <row r="75" spans="1:24" ht="29.25" customHeight="1">
      <c r="A75" s="232"/>
      <c r="B75" s="392" t="s">
        <v>598</v>
      </c>
      <c r="C75" s="392"/>
      <c r="D75" s="392"/>
      <c r="E75" s="392"/>
      <c r="F75" s="393">
        <f>IFERROR(F74/O74,"O percentual será calculado após lançamento dos valores dos itens/serviços")</f>
        <v>0.5000000073754971</v>
      </c>
      <c r="G75" s="394"/>
      <c r="H75" s="394"/>
      <c r="I75" s="394"/>
      <c r="J75" s="395">
        <f>IFERROR(J74/O74,"O percentual será calculado após lançamento dos valores dos itens/serviços")</f>
        <v>0.4999999926245029</v>
      </c>
      <c r="K75" s="396"/>
      <c r="L75" s="396"/>
      <c r="M75" s="396"/>
      <c r="N75" s="397"/>
      <c r="O75" s="217">
        <f>IFERROR(J75+F75,"")</f>
        <v>1</v>
      </c>
      <c r="P75" s="161"/>
      <c r="R75" s="216"/>
      <c r="S75" s="162"/>
      <c r="T75" s="162"/>
      <c r="U75" s="162"/>
      <c r="V75" s="163"/>
      <c r="W75" s="163"/>
      <c r="X75" s="163"/>
    </row>
    <row r="76" spans="1:24">
      <c r="A76" s="232"/>
      <c r="B76" s="169"/>
      <c r="C76" s="169"/>
      <c r="D76" s="218"/>
      <c r="E76" s="218"/>
      <c r="F76" s="219"/>
      <c r="G76" s="219"/>
      <c r="H76" s="219"/>
      <c r="I76" s="219"/>
      <c r="J76" s="219"/>
      <c r="K76" s="219"/>
      <c r="L76" s="219"/>
      <c r="M76" s="219"/>
      <c r="N76" s="219"/>
      <c r="O76" s="220"/>
      <c r="P76" s="161"/>
      <c r="Q76" s="221"/>
      <c r="R76" s="216"/>
      <c r="S76" s="162"/>
      <c r="T76" s="162"/>
      <c r="U76" s="162"/>
      <c r="V76" s="163"/>
      <c r="W76" s="163"/>
      <c r="X76" s="163"/>
    </row>
    <row r="77" spans="1:24" s="222" customFormat="1">
      <c r="A77" s="232"/>
      <c r="B77" s="169"/>
      <c r="C77" s="169"/>
      <c r="D77" s="398"/>
      <c r="E77" s="399"/>
      <c r="F77" s="399"/>
      <c r="G77" s="399"/>
      <c r="H77" s="399"/>
      <c r="I77" s="399"/>
      <c r="J77" s="399"/>
      <c r="K77" s="399"/>
      <c r="L77" s="399"/>
      <c r="M77" s="399"/>
      <c r="N77" s="399"/>
      <c r="O77" s="400"/>
      <c r="P77" s="169"/>
      <c r="Q77" s="221"/>
      <c r="R77" s="216"/>
      <c r="S77" s="162"/>
      <c r="T77" s="162"/>
      <c r="U77" s="162"/>
      <c r="V77" s="162"/>
      <c r="W77" s="162"/>
      <c r="X77" s="162"/>
    </row>
    <row r="78" spans="1:24" s="222" customFormat="1">
      <c r="A78" s="232"/>
      <c r="B78" s="223"/>
      <c r="C78" s="223"/>
      <c r="D78" s="399"/>
      <c r="E78" s="399"/>
      <c r="F78" s="399"/>
      <c r="G78" s="399"/>
      <c r="H78" s="399"/>
      <c r="I78" s="399"/>
      <c r="J78" s="399"/>
      <c r="K78" s="399"/>
      <c r="L78" s="399"/>
      <c r="M78" s="399"/>
      <c r="N78" s="399"/>
      <c r="O78" s="400"/>
      <c r="P78" s="169"/>
      <c r="Q78" s="221"/>
      <c r="R78" s="216"/>
      <c r="S78" s="162"/>
      <c r="T78" s="162"/>
      <c r="U78" s="162"/>
      <c r="V78" s="162"/>
      <c r="W78" s="162"/>
      <c r="X78" s="162"/>
    </row>
    <row r="79" spans="1:24" s="222" customFormat="1">
      <c r="A79" s="232"/>
      <c r="B79" s="224"/>
      <c r="C79" s="224"/>
      <c r="D79" s="399"/>
      <c r="E79" s="399"/>
      <c r="F79" s="399"/>
      <c r="G79" s="399"/>
      <c r="H79" s="399"/>
      <c r="I79" s="399"/>
      <c r="J79" s="399"/>
      <c r="K79" s="399"/>
      <c r="L79" s="399"/>
      <c r="M79" s="399"/>
      <c r="N79" s="399"/>
      <c r="O79" s="400"/>
      <c r="P79" s="169"/>
      <c r="Q79" s="225"/>
      <c r="R79" s="216"/>
      <c r="S79" s="162"/>
      <c r="T79" s="162"/>
      <c r="U79" s="162"/>
      <c r="V79" s="162"/>
      <c r="W79" s="162"/>
      <c r="X79" s="162"/>
    </row>
    <row r="80" spans="1:24" s="222" customFormat="1">
      <c r="A80" s="232"/>
      <c r="B80" s="224"/>
      <c r="C80" s="224"/>
      <c r="D80" s="399"/>
      <c r="E80" s="399"/>
      <c r="F80" s="399"/>
      <c r="G80" s="399"/>
      <c r="H80" s="399"/>
      <c r="I80" s="399"/>
      <c r="J80" s="399"/>
      <c r="K80" s="399"/>
      <c r="L80" s="399"/>
      <c r="M80" s="399"/>
      <c r="N80" s="399"/>
      <c r="O80" s="400"/>
      <c r="P80" s="169"/>
      <c r="Q80" s="221"/>
      <c r="R80" s="226"/>
      <c r="S80" s="162"/>
      <c r="T80" s="162"/>
      <c r="U80" s="162"/>
      <c r="V80" s="162"/>
      <c r="W80" s="162"/>
      <c r="X80" s="162"/>
    </row>
    <row r="81" spans="1:24" s="222" customFormat="1">
      <c r="A81" s="232"/>
      <c r="B81" s="224"/>
      <c r="C81" s="224"/>
      <c r="D81" s="399"/>
      <c r="E81" s="399"/>
      <c r="F81" s="399"/>
      <c r="G81" s="399"/>
      <c r="H81" s="399"/>
      <c r="I81" s="399"/>
      <c r="J81" s="399"/>
      <c r="K81" s="399"/>
      <c r="L81" s="399"/>
      <c r="M81" s="399"/>
      <c r="N81" s="399"/>
      <c r="O81" s="400"/>
      <c r="P81" s="169"/>
      <c r="Q81" s="162"/>
      <c r="R81" s="162"/>
      <c r="S81" s="162"/>
      <c r="T81" s="162"/>
      <c r="U81" s="162"/>
      <c r="V81" s="162"/>
      <c r="W81" s="162"/>
      <c r="X81" s="162"/>
    </row>
    <row r="82" spans="1:24" ht="30.75" customHeight="1">
      <c r="A82" s="232"/>
      <c r="B82" s="224"/>
      <c r="C82" s="224"/>
      <c r="D82" s="261"/>
      <c r="E82" s="261"/>
      <c r="F82" s="261"/>
      <c r="G82" s="261"/>
      <c r="H82" s="261"/>
      <c r="I82" s="261"/>
      <c r="J82" s="261"/>
      <c r="K82" s="261"/>
      <c r="L82" s="261"/>
      <c r="M82" s="261"/>
      <c r="N82" s="261"/>
      <c r="O82" s="262"/>
      <c r="P82" s="161"/>
      <c r="Q82" s="221"/>
      <c r="R82" s="162"/>
      <c r="S82" s="162"/>
      <c r="T82" s="162"/>
      <c r="U82" s="162"/>
      <c r="V82" s="163"/>
      <c r="W82" s="163"/>
      <c r="X82" s="163"/>
    </row>
    <row r="83" spans="1:24" ht="12" customHeight="1">
      <c r="A83" s="232"/>
      <c r="B83" s="224"/>
      <c r="C83" s="224"/>
      <c r="D83" s="261"/>
      <c r="E83" s="261"/>
      <c r="F83" s="261"/>
      <c r="G83" s="261"/>
      <c r="H83" s="261"/>
      <c r="I83" s="261"/>
      <c r="J83" s="261"/>
      <c r="K83" s="261"/>
      <c r="L83" s="261"/>
      <c r="M83" s="261"/>
      <c r="N83" s="261"/>
      <c r="O83" s="262"/>
      <c r="P83" s="258"/>
      <c r="Q83" s="221"/>
      <c r="R83" s="162"/>
      <c r="S83" s="162"/>
      <c r="T83" s="162"/>
      <c r="U83" s="162"/>
      <c r="V83" s="163"/>
      <c r="W83" s="163"/>
      <c r="X83" s="163"/>
    </row>
    <row r="84" spans="1:24" ht="13.5" customHeight="1">
      <c r="A84" s="232"/>
      <c r="B84" s="224"/>
      <c r="C84" s="224"/>
      <c r="D84" s="261"/>
      <c r="E84" s="261"/>
      <c r="F84" s="261"/>
      <c r="G84" s="261"/>
      <c r="H84" s="261"/>
      <c r="I84" s="261"/>
      <c r="J84" s="261"/>
      <c r="K84" s="261"/>
      <c r="L84" s="261"/>
      <c r="M84" s="261"/>
      <c r="N84" s="261"/>
      <c r="O84" s="262"/>
      <c r="P84" s="161"/>
      <c r="Q84" s="221"/>
      <c r="R84" s="162"/>
      <c r="S84" s="162"/>
      <c r="T84" s="162"/>
      <c r="U84" s="162"/>
      <c r="V84" s="163"/>
      <c r="W84" s="163"/>
      <c r="X84" s="163"/>
    </row>
    <row r="85" spans="1:24" ht="21" customHeight="1">
      <c r="A85" s="232"/>
      <c r="B85" s="224"/>
      <c r="C85" s="224"/>
      <c r="D85" s="261"/>
      <c r="E85" s="261"/>
      <c r="F85" s="261"/>
      <c r="G85" s="261"/>
      <c r="H85" s="261"/>
      <c r="I85" s="261"/>
      <c r="J85" s="261"/>
      <c r="K85" s="261"/>
      <c r="L85" s="261"/>
      <c r="M85" s="261"/>
      <c r="N85" s="261"/>
      <c r="O85" s="262"/>
      <c r="P85" s="161"/>
      <c r="Q85" s="221"/>
      <c r="R85" s="162"/>
      <c r="S85" s="162"/>
      <c r="T85" s="162"/>
      <c r="U85" s="162"/>
      <c r="V85" s="163"/>
      <c r="W85" s="163"/>
      <c r="X85" s="163"/>
    </row>
    <row r="86" spans="1:24" ht="46.5" customHeight="1" thickBot="1">
      <c r="A86" s="232"/>
      <c r="B86" s="224"/>
      <c r="C86" s="224"/>
      <c r="D86" s="227"/>
      <c r="E86" s="227"/>
      <c r="F86" s="227"/>
      <c r="G86" s="261"/>
      <c r="H86" s="261"/>
      <c r="I86" s="261"/>
      <c r="J86" s="261"/>
      <c r="K86" s="261"/>
      <c r="L86" s="261"/>
      <c r="M86" s="261"/>
      <c r="N86" s="261"/>
      <c r="O86" s="262"/>
      <c r="P86" s="161"/>
      <c r="Q86" s="221"/>
      <c r="R86" s="162"/>
      <c r="S86" s="162"/>
      <c r="T86" s="162"/>
      <c r="U86" s="162"/>
      <c r="V86" s="163"/>
      <c r="W86" s="163"/>
      <c r="X86" s="163"/>
    </row>
    <row r="87" spans="1:24">
      <c r="A87" s="232"/>
      <c r="B87" s="169"/>
      <c r="C87" s="169"/>
      <c r="D87" s="401" t="s">
        <v>599</v>
      </c>
      <c r="E87" s="401"/>
      <c r="F87" s="401"/>
      <c r="G87" s="228"/>
      <c r="H87" s="169"/>
      <c r="I87" s="169"/>
      <c r="J87" s="169"/>
      <c r="K87" s="169"/>
      <c r="L87" s="169"/>
      <c r="M87" s="169"/>
      <c r="N87" s="169"/>
      <c r="O87" s="229"/>
      <c r="P87" s="161"/>
      <c r="Q87" s="162"/>
      <c r="R87" s="162"/>
      <c r="S87" s="162"/>
      <c r="T87" s="162"/>
      <c r="U87" s="162"/>
      <c r="V87" s="163"/>
      <c r="W87" s="163"/>
      <c r="X87" s="163"/>
    </row>
    <row r="88" spans="1:24">
      <c r="A88" s="232"/>
      <c r="B88" s="169"/>
      <c r="C88" s="169"/>
      <c r="D88" s="230" t="s">
        <v>600</v>
      </c>
      <c r="E88" s="402"/>
      <c r="F88" s="402"/>
      <c r="G88" s="231"/>
      <c r="H88" s="169"/>
      <c r="I88" s="169"/>
      <c r="J88" s="169"/>
      <c r="K88" s="169"/>
      <c r="L88" s="169"/>
      <c r="M88" s="169"/>
      <c r="N88" s="169"/>
      <c r="O88" s="171"/>
      <c r="P88" s="161"/>
      <c r="Q88" s="221"/>
      <c r="R88" s="162"/>
      <c r="S88" s="162"/>
      <c r="T88" s="162"/>
      <c r="U88" s="162"/>
      <c r="V88" s="163"/>
      <c r="W88" s="163"/>
      <c r="X88" s="163"/>
    </row>
    <row r="89" spans="1:24" s="207" customFormat="1">
      <c r="A89" s="240"/>
      <c r="B89" s="222"/>
      <c r="C89" s="222"/>
      <c r="D89" s="230" t="s">
        <v>601</v>
      </c>
      <c r="E89" s="390"/>
      <c r="F89" s="390"/>
      <c r="G89" s="233"/>
      <c r="H89" s="222"/>
      <c r="I89" s="222"/>
      <c r="J89" s="222"/>
      <c r="K89" s="222"/>
      <c r="L89" s="222"/>
      <c r="M89" s="222"/>
      <c r="N89" s="222"/>
      <c r="O89" s="234"/>
      <c r="P89" s="164"/>
      <c r="Q89" s="221"/>
      <c r="R89" s="162"/>
      <c r="S89" s="162"/>
      <c r="T89" s="162"/>
      <c r="U89" s="162"/>
      <c r="V89" s="163"/>
    </row>
    <row r="90" spans="1:24" s="207" customFormat="1">
      <c r="A90" s="240"/>
      <c r="B90" s="222"/>
      <c r="C90" s="222"/>
      <c r="D90" s="391" t="s">
        <v>562</v>
      </c>
      <c r="E90" s="391"/>
      <c r="F90" s="391"/>
      <c r="G90" s="222"/>
      <c r="H90" s="222"/>
      <c r="I90" s="222"/>
      <c r="J90" s="222"/>
      <c r="K90" s="222"/>
      <c r="L90" s="222"/>
      <c r="M90" s="222"/>
      <c r="N90" s="222"/>
      <c r="O90" s="234"/>
      <c r="P90" s="164"/>
      <c r="Q90" s="221"/>
      <c r="R90" s="162"/>
      <c r="S90" s="162"/>
      <c r="T90" s="162"/>
      <c r="U90" s="162"/>
      <c r="V90" s="163"/>
    </row>
    <row r="91" spans="1:24" s="207" customFormat="1">
      <c r="A91" s="241"/>
      <c r="B91" s="235"/>
      <c r="C91" s="235"/>
      <c r="D91" s="235"/>
      <c r="E91" s="235"/>
      <c r="F91" s="235"/>
      <c r="G91" s="235"/>
      <c r="H91" s="235"/>
      <c r="I91" s="235"/>
      <c r="J91" s="235"/>
      <c r="K91" s="235"/>
      <c r="L91" s="235"/>
      <c r="M91" s="235"/>
      <c r="N91" s="235"/>
      <c r="O91" s="236"/>
      <c r="P91" s="164"/>
      <c r="Q91" s="225"/>
      <c r="R91" s="162"/>
      <c r="S91" s="162"/>
      <c r="T91" s="162"/>
      <c r="U91" s="162"/>
      <c r="V91" s="163"/>
    </row>
    <row r="92" spans="1:24" s="207" customFormat="1">
      <c r="B92" s="164"/>
      <c r="C92" s="164"/>
      <c r="D92" s="164"/>
      <c r="E92" s="164"/>
      <c r="F92" s="164"/>
      <c r="G92" s="164"/>
      <c r="H92" s="164"/>
      <c r="I92" s="164"/>
      <c r="J92" s="164"/>
      <c r="K92" s="164"/>
      <c r="L92" s="164"/>
      <c r="M92" s="164"/>
      <c r="N92" s="164"/>
      <c r="O92" s="164"/>
      <c r="P92" s="164"/>
      <c r="Q92" s="221"/>
      <c r="R92" s="225"/>
      <c r="S92" s="162"/>
      <c r="T92" s="162"/>
      <c r="U92" s="162"/>
      <c r="V92" s="163"/>
    </row>
    <row r="93" spans="1:24" s="207" customFormat="1">
      <c r="B93" s="164"/>
      <c r="C93" s="164"/>
      <c r="D93" s="164"/>
      <c r="E93" s="164"/>
      <c r="F93" s="164"/>
      <c r="G93" s="164"/>
      <c r="H93" s="164"/>
      <c r="I93" s="164"/>
      <c r="J93" s="164"/>
      <c r="K93" s="164"/>
      <c r="L93" s="164"/>
      <c r="M93" s="164"/>
      <c r="N93" s="164"/>
      <c r="O93" s="164"/>
      <c r="P93" s="164"/>
      <c r="Q93" s="225"/>
      <c r="R93" s="225"/>
      <c r="S93" s="162"/>
      <c r="T93" s="162"/>
      <c r="U93" s="162"/>
      <c r="V93" s="163"/>
    </row>
    <row r="94" spans="1:24" s="207" customFormat="1">
      <c r="B94" s="164"/>
      <c r="C94" s="164"/>
      <c r="D94" s="164"/>
      <c r="E94" s="164"/>
      <c r="F94" s="164"/>
      <c r="G94" s="164"/>
      <c r="H94" s="164"/>
      <c r="I94" s="164"/>
      <c r="J94" s="164"/>
      <c r="K94" s="164"/>
      <c r="L94" s="164"/>
      <c r="M94" s="164"/>
      <c r="N94" s="164"/>
      <c r="O94" s="164"/>
      <c r="P94" s="164"/>
      <c r="Q94" s="221"/>
      <c r="R94" s="225"/>
      <c r="S94" s="162"/>
      <c r="T94" s="162"/>
      <c r="U94" s="162"/>
      <c r="V94" s="163"/>
    </row>
    <row r="95" spans="1:24" s="207" customFormat="1">
      <c r="B95" s="164"/>
      <c r="C95" s="164"/>
      <c r="D95" s="164"/>
      <c r="E95" s="164"/>
      <c r="F95" s="164"/>
      <c r="G95" s="164"/>
      <c r="H95" s="164"/>
      <c r="I95" s="164"/>
      <c r="J95" s="164"/>
      <c r="K95" s="164"/>
      <c r="L95" s="164"/>
      <c r="M95" s="164"/>
      <c r="N95" s="164"/>
      <c r="O95" s="164"/>
      <c r="P95" s="164"/>
      <c r="Q95" s="237"/>
      <c r="R95" s="225"/>
      <c r="S95" s="162"/>
      <c r="T95" s="162"/>
      <c r="U95" s="162"/>
      <c r="V95" s="163"/>
    </row>
    <row r="96" spans="1:24" s="207" customFormat="1">
      <c r="B96" s="164"/>
      <c r="C96" s="164"/>
      <c r="D96" s="164"/>
      <c r="E96" s="164"/>
      <c r="F96" s="164"/>
      <c r="G96" s="164"/>
      <c r="H96" s="164"/>
      <c r="I96" s="164"/>
      <c r="J96" s="164"/>
      <c r="K96" s="164"/>
      <c r="L96" s="164"/>
      <c r="M96" s="164"/>
      <c r="N96" s="164"/>
      <c r="O96" s="164"/>
      <c r="P96" s="164"/>
      <c r="Q96" s="221"/>
      <c r="R96" s="237"/>
      <c r="S96" s="162"/>
      <c r="T96" s="162"/>
      <c r="U96" s="162"/>
      <c r="V96" s="163"/>
    </row>
    <row r="97" spans="2:22" s="207" customFormat="1">
      <c r="B97" s="164"/>
      <c r="C97" s="164"/>
      <c r="D97" s="164"/>
      <c r="E97" s="164"/>
      <c r="F97" s="164"/>
      <c r="G97" s="164"/>
      <c r="H97" s="164"/>
      <c r="I97" s="164"/>
      <c r="J97" s="164"/>
      <c r="K97" s="164"/>
      <c r="L97" s="164"/>
      <c r="M97" s="164"/>
      <c r="N97" s="164"/>
      <c r="O97" s="164"/>
      <c r="P97" s="164"/>
      <c r="Q97" s="225"/>
      <c r="R97" s="225"/>
      <c r="S97" s="162"/>
      <c r="T97" s="162"/>
      <c r="U97" s="162"/>
      <c r="V97" s="163"/>
    </row>
    <row r="98" spans="2:22" s="207" customFormat="1">
      <c r="B98" s="164"/>
      <c r="C98" s="164"/>
      <c r="D98" s="164"/>
      <c r="E98" s="164"/>
      <c r="F98" s="164"/>
      <c r="G98" s="164"/>
      <c r="H98" s="164"/>
      <c r="I98" s="164"/>
      <c r="J98" s="164"/>
      <c r="K98" s="164"/>
      <c r="L98" s="164"/>
      <c r="M98" s="164"/>
      <c r="N98" s="164"/>
      <c r="O98" s="164"/>
      <c r="P98" s="164"/>
      <c r="Q98" s="221"/>
      <c r="R98" s="225"/>
      <c r="S98" s="162"/>
      <c r="T98" s="162"/>
      <c r="U98" s="162"/>
      <c r="V98" s="163"/>
    </row>
  </sheetData>
  <sheetProtection formatCells="0" insertColumns="0" insertRows="0" deleteColumns="0" deleteRows="0" selectLockedCells="1"/>
  <mergeCells count="217">
    <mergeCell ref="B1:C4"/>
    <mergeCell ref="D1:O2"/>
    <mergeCell ref="L5:O5"/>
    <mergeCell ref="B6:C6"/>
    <mergeCell ref="D6:H6"/>
    <mergeCell ref="K6:M6"/>
    <mergeCell ref="B11:B16"/>
    <mergeCell ref="C11:D16"/>
    <mergeCell ref="E11:E16"/>
    <mergeCell ref="F11:I11"/>
    <mergeCell ref="J11:N11"/>
    <mergeCell ref="O11:O16"/>
    <mergeCell ref="J12:N12"/>
    <mergeCell ref="J13:K13"/>
    <mergeCell ref="B7:C7"/>
    <mergeCell ref="D7:H7"/>
    <mergeCell ref="K7:M7"/>
    <mergeCell ref="B8:C8"/>
    <mergeCell ref="D8:H8"/>
    <mergeCell ref="J8:J9"/>
    <mergeCell ref="K8:L8"/>
    <mergeCell ref="M8:O8"/>
    <mergeCell ref="B9:C9"/>
    <mergeCell ref="D9:H9"/>
    <mergeCell ref="M13:N13"/>
    <mergeCell ref="F14:G14"/>
    <mergeCell ref="J14:K14"/>
    <mergeCell ref="F15:G15"/>
    <mergeCell ref="J15:L15"/>
    <mergeCell ref="F16:G16"/>
    <mergeCell ref="J16:L16"/>
    <mergeCell ref="K9:L9"/>
    <mergeCell ref="M9:O9"/>
    <mergeCell ref="G19:I19"/>
    <mergeCell ref="L19:N19"/>
    <mergeCell ref="F20:I20"/>
    <mergeCell ref="J20:N20"/>
    <mergeCell ref="B17:B18"/>
    <mergeCell ref="C17:D18"/>
    <mergeCell ref="G17:I17"/>
    <mergeCell ref="L17:N17"/>
    <mergeCell ref="F18:I18"/>
    <mergeCell ref="J18:N18"/>
    <mergeCell ref="B19:B20"/>
    <mergeCell ref="C19:D20"/>
    <mergeCell ref="B67:B68"/>
    <mergeCell ref="C67:D68"/>
    <mergeCell ref="G67:I67"/>
    <mergeCell ref="L67:N67"/>
    <mergeCell ref="F68:I68"/>
    <mergeCell ref="J68:N68"/>
    <mergeCell ref="B49:B50"/>
    <mergeCell ref="C49:D50"/>
    <mergeCell ref="G49:I49"/>
    <mergeCell ref="L49:N49"/>
    <mergeCell ref="F50:I50"/>
    <mergeCell ref="J50:N50"/>
    <mergeCell ref="J56:N56"/>
    <mergeCell ref="B57:B58"/>
    <mergeCell ref="C57:D58"/>
    <mergeCell ref="G57:I57"/>
    <mergeCell ref="L57:N57"/>
    <mergeCell ref="F58:I58"/>
    <mergeCell ref="J58:N58"/>
    <mergeCell ref="G51:I51"/>
    <mergeCell ref="L51:N51"/>
    <mergeCell ref="F52:I52"/>
    <mergeCell ref="J52:N52"/>
    <mergeCell ref="C53:D54"/>
    <mergeCell ref="J71:N71"/>
    <mergeCell ref="B72:E72"/>
    <mergeCell ref="F72:I72"/>
    <mergeCell ref="J72:N72"/>
    <mergeCell ref="B69:B70"/>
    <mergeCell ref="C69:D70"/>
    <mergeCell ref="G69:I69"/>
    <mergeCell ref="L69:N69"/>
    <mergeCell ref="F70:I70"/>
    <mergeCell ref="J70:N70"/>
    <mergeCell ref="E89:F89"/>
    <mergeCell ref="D90:F90"/>
    <mergeCell ref="B21:B22"/>
    <mergeCell ref="C21:D22"/>
    <mergeCell ref="G21:I21"/>
    <mergeCell ref="L21:N21"/>
    <mergeCell ref="F22:I22"/>
    <mergeCell ref="J22:N22"/>
    <mergeCell ref="B23:B24"/>
    <mergeCell ref="C23:D24"/>
    <mergeCell ref="B75:E75"/>
    <mergeCell ref="F75:I75"/>
    <mergeCell ref="J75:N75"/>
    <mergeCell ref="D77:O81"/>
    <mergeCell ref="D87:F87"/>
    <mergeCell ref="E88:F88"/>
    <mergeCell ref="B73:E73"/>
    <mergeCell ref="F73:I73"/>
    <mergeCell ref="J73:N73"/>
    <mergeCell ref="B74:E74"/>
    <mergeCell ref="F74:I74"/>
    <mergeCell ref="J74:N74"/>
    <mergeCell ref="B71:E71"/>
    <mergeCell ref="F71:I71"/>
    <mergeCell ref="G27:I27"/>
    <mergeCell ref="L27:N27"/>
    <mergeCell ref="F28:I28"/>
    <mergeCell ref="J28:N28"/>
    <mergeCell ref="G23:I23"/>
    <mergeCell ref="L23:N23"/>
    <mergeCell ref="F24:I24"/>
    <mergeCell ref="J24:N24"/>
    <mergeCell ref="B25:B26"/>
    <mergeCell ref="C25:D26"/>
    <mergeCell ref="G25:I25"/>
    <mergeCell ref="L25:N25"/>
    <mergeCell ref="F26:I26"/>
    <mergeCell ref="J26:N26"/>
    <mergeCell ref="B27:B28"/>
    <mergeCell ref="C27:D28"/>
    <mergeCell ref="G31:I31"/>
    <mergeCell ref="L31:N31"/>
    <mergeCell ref="F32:I32"/>
    <mergeCell ref="J32:N32"/>
    <mergeCell ref="B29:B30"/>
    <mergeCell ref="C29:D30"/>
    <mergeCell ref="G29:I29"/>
    <mergeCell ref="L29:N29"/>
    <mergeCell ref="F30:I30"/>
    <mergeCell ref="J30:N30"/>
    <mergeCell ref="G35:I35"/>
    <mergeCell ref="L35:N35"/>
    <mergeCell ref="F36:I36"/>
    <mergeCell ref="J36:N36"/>
    <mergeCell ref="B33:B34"/>
    <mergeCell ref="C33:D34"/>
    <mergeCell ref="G33:I33"/>
    <mergeCell ref="L33:N33"/>
    <mergeCell ref="F34:I34"/>
    <mergeCell ref="J34:N34"/>
    <mergeCell ref="G39:I39"/>
    <mergeCell ref="L39:N39"/>
    <mergeCell ref="F40:I40"/>
    <mergeCell ref="J40:N40"/>
    <mergeCell ref="B37:B38"/>
    <mergeCell ref="C37:D38"/>
    <mergeCell ref="G37:I37"/>
    <mergeCell ref="L37:N37"/>
    <mergeCell ref="F38:I38"/>
    <mergeCell ref="J38:N38"/>
    <mergeCell ref="G47:I47"/>
    <mergeCell ref="L47:N47"/>
    <mergeCell ref="F48:I48"/>
    <mergeCell ref="J48:N48"/>
    <mergeCell ref="B45:B46"/>
    <mergeCell ref="C45:D46"/>
    <mergeCell ref="G45:I45"/>
    <mergeCell ref="L45:N45"/>
    <mergeCell ref="F46:I46"/>
    <mergeCell ref="J46:N46"/>
    <mergeCell ref="G43:I43"/>
    <mergeCell ref="L43:N43"/>
    <mergeCell ref="F44:I44"/>
    <mergeCell ref="J44:N44"/>
    <mergeCell ref="B41:B42"/>
    <mergeCell ref="C41:D42"/>
    <mergeCell ref="G41:I41"/>
    <mergeCell ref="L41:N41"/>
    <mergeCell ref="F42:I42"/>
    <mergeCell ref="J42:N42"/>
    <mergeCell ref="C61:D62"/>
    <mergeCell ref="G61:I61"/>
    <mergeCell ref="L61:N61"/>
    <mergeCell ref="F62:I62"/>
    <mergeCell ref="A17:A50"/>
    <mergeCell ref="B65:B66"/>
    <mergeCell ref="B51:B52"/>
    <mergeCell ref="B53:B54"/>
    <mergeCell ref="B63:B64"/>
    <mergeCell ref="C51:D52"/>
    <mergeCell ref="B55:B56"/>
    <mergeCell ref="C55:D56"/>
    <mergeCell ref="B59:B60"/>
    <mergeCell ref="C59:D60"/>
    <mergeCell ref="B47:B48"/>
    <mergeCell ref="C47:D48"/>
    <mergeCell ref="B43:B44"/>
    <mergeCell ref="C43:D44"/>
    <mergeCell ref="B39:B40"/>
    <mergeCell ref="C39:D40"/>
    <mergeCell ref="B35:B36"/>
    <mergeCell ref="C35:D36"/>
    <mergeCell ref="B31:B32"/>
    <mergeCell ref="C31:D32"/>
    <mergeCell ref="J62:N62"/>
    <mergeCell ref="G55:I55"/>
    <mergeCell ref="L55:N55"/>
    <mergeCell ref="F56:I56"/>
    <mergeCell ref="G53:I53"/>
    <mergeCell ref="L53:N53"/>
    <mergeCell ref="F54:I54"/>
    <mergeCell ref="J54:N54"/>
    <mergeCell ref="A51:A70"/>
    <mergeCell ref="C63:D64"/>
    <mergeCell ref="G63:I63"/>
    <mergeCell ref="L63:N63"/>
    <mergeCell ref="F64:I64"/>
    <mergeCell ref="J64:N64"/>
    <mergeCell ref="C65:D66"/>
    <mergeCell ref="G65:I65"/>
    <mergeCell ref="L65:N65"/>
    <mergeCell ref="F66:I66"/>
    <mergeCell ref="J66:N66"/>
    <mergeCell ref="G59:I59"/>
    <mergeCell ref="L59:N59"/>
    <mergeCell ref="F60:I60"/>
    <mergeCell ref="J60:N60"/>
    <mergeCell ref="B61:B62"/>
  </mergeCells>
  <conditionalFormatting sqref="M9:O9">
    <cfRule type="cellIs" dxfId="111" priority="116" operator="equal">
      <formula>"Cálculo automático"</formula>
    </cfRule>
  </conditionalFormatting>
  <conditionalFormatting sqref="O18 O20">
    <cfRule type="cellIs" dxfId="110" priority="115" operator="equal">
      <formula>"Lançar valor para as duas etapas, mesmo que ZERO"</formula>
    </cfRule>
  </conditionalFormatting>
  <conditionalFormatting sqref="F17:G17 J17:L17 F18:N18 F20:N20 F19:G19 J19:L19">
    <cfRule type="cellIs" dxfId="109" priority="114" operator="equal">
      <formula>0</formula>
    </cfRule>
  </conditionalFormatting>
  <conditionalFormatting sqref="H15 M14">
    <cfRule type="cellIs" dxfId="108" priority="113" operator="equal">
      <formula>"XXX"</formula>
    </cfRule>
  </conditionalFormatting>
  <conditionalFormatting sqref="F17:N20">
    <cfRule type="cellIs" dxfId="107" priority="112" operator="equal">
      <formula>"Lançar o valor mesmo que ZERO"</formula>
    </cfRule>
  </conditionalFormatting>
  <conditionalFormatting sqref="K7:M7">
    <cfRule type="cellIs" dxfId="106" priority="111" operator="equal">
      <formula>"Inserir n.º do boletim e se com ou sem desoneração"</formula>
    </cfRule>
  </conditionalFormatting>
  <conditionalFormatting sqref="O7">
    <cfRule type="cellIs" dxfId="105" priority="110" operator="equal">
      <formula>"Inserir data base do orçamento proposto"</formula>
    </cfRule>
  </conditionalFormatting>
  <conditionalFormatting sqref="D6:H6">
    <cfRule type="cellIs" dxfId="104" priority="109" operator="equal">
      <formula>"Nome do Municipio"</formula>
    </cfRule>
  </conditionalFormatting>
  <conditionalFormatting sqref="D7:H7">
    <cfRule type="cellIs" dxfId="103" priority="108" operator="equal">
      <formula>"Nome do Objeto aprovado no COC"</formula>
    </cfRule>
  </conditionalFormatting>
  <conditionalFormatting sqref="D8:H8">
    <cfRule type="cellIs" dxfId="102" priority="107" operator="equal">
      <formula>"N.º do processo da Secretaria de Turismo"</formula>
    </cfRule>
  </conditionalFormatting>
  <conditionalFormatting sqref="F73:N73">
    <cfRule type="cellIs" dxfId="101" priority="106" operator="equal">
      <formula>"Lançar o valor da contrapartida, mesmo que ZERO"</formula>
    </cfRule>
  </conditionalFormatting>
  <conditionalFormatting sqref="C17 C19:D20">
    <cfRule type="cellIs" dxfId="100" priority="105" operator="equal">
      <formula>"Descrição do Item"</formula>
    </cfRule>
  </conditionalFormatting>
  <conditionalFormatting sqref="O28">
    <cfRule type="cellIs" dxfId="99" priority="88" operator="equal">
      <formula>"Lançar valor para as duas etapas, mesmo que ZERO"</formula>
    </cfRule>
  </conditionalFormatting>
  <conditionalFormatting sqref="F28:N28 F27:G27 J27:L27">
    <cfRule type="cellIs" dxfId="98" priority="87" operator="equal">
      <formula>0</formula>
    </cfRule>
  </conditionalFormatting>
  <conditionalFormatting sqref="F27:N28">
    <cfRule type="cellIs" dxfId="97" priority="86" operator="equal">
      <formula>"Lançar o valor mesmo que ZERO"</formula>
    </cfRule>
  </conditionalFormatting>
  <conditionalFormatting sqref="C27:D28">
    <cfRule type="cellIs" dxfId="96" priority="85" operator="equal">
      <formula>"Descrição do Item"</formula>
    </cfRule>
  </conditionalFormatting>
  <conditionalFormatting sqref="O22">
    <cfRule type="cellIs" dxfId="95" priority="100" operator="equal">
      <formula>"Lançar valor para as duas etapas, mesmo que ZERO"</formula>
    </cfRule>
  </conditionalFormatting>
  <conditionalFormatting sqref="F22:N22 F21:G21 J21:L21">
    <cfRule type="cellIs" dxfId="94" priority="99" operator="equal">
      <formula>0</formula>
    </cfRule>
  </conditionalFormatting>
  <conditionalFormatting sqref="F21:N22">
    <cfRule type="cellIs" dxfId="93" priority="98" operator="equal">
      <formula>"Lançar o valor mesmo que ZERO"</formula>
    </cfRule>
  </conditionalFormatting>
  <conditionalFormatting sqref="C21:D22">
    <cfRule type="cellIs" dxfId="92" priority="97" operator="equal">
      <formula>"Descrição do Item"</formula>
    </cfRule>
  </conditionalFormatting>
  <conditionalFormatting sqref="O24">
    <cfRule type="cellIs" dxfId="91" priority="96" operator="equal">
      <formula>"Lançar valor para as duas etapas, mesmo que ZERO"</formula>
    </cfRule>
  </conditionalFormatting>
  <conditionalFormatting sqref="F24:N24 F23:G23 J23:L23">
    <cfRule type="cellIs" dxfId="90" priority="95" operator="equal">
      <formula>0</formula>
    </cfRule>
  </conditionalFormatting>
  <conditionalFormatting sqref="F23:N24">
    <cfRule type="cellIs" dxfId="89" priority="94" operator="equal">
      <formula>"Lançar o valor mesmo que ZERO"</formula>
    </cfRule>
  </conditionalFormatting>
  <conditionalFormatting sqref="C23:D24">
    <cfRule type="cellIs" dxfId="88" priority="93" operator="equal">
      <formula>"Descrição do Item"</formula>
    </cfRule>
  </conditionalFormatting>
  <conditionalFormatting sqref="O26">
    <cfRule type="cellIs" dxfId="87" priority="92" operator="equal">
      <formula>"Lançar valor para as duas etapas, mesmo que ZERO"</formula>
    </cfRule>
  </conditionalFormatting>
  <conditionalFormatting sqref="F26:N26 F25:G25 J25:L25">
    <cfRule type="cellIs" dxfId="86" priority="91" operator="equal">
      <formula>0</formula>
    </cfRule>
  </conditionalFormatting>
  <conditionalFormatting sqref="F25:N26">
    <cfRule type="cellIs" dxfId="85" priority="90" operator="equal">
      <formula>"Lançar o valor mesmo que ZERO"</formula>
    </cfRule>
  </conditionalFormatting>
  <conditionalFormatting sqref="C25:D26">
    <cfRule type="cellIs" dxfId="84" priority="89" operator="equal">
      <formula>"Descrição do Item"</formula>
    </cfRule>
  </conditionalFormatting>
  <conditionalFormatting sqref="O30">
    <cfRule type="cellIs" dxfId="83" priority="84" operator="equal">
      <formula>"Lançar valor para as duas etapas, mesmo que ZERO"</formula>
    </cfRule>
  </conditionalFormatting>
  <conditionalFormatting sqref="F30:N30 F29:G29 J29:L29">
    <cfRule type="cellIs" dxfId="82" priority="83" operator="equal">
      <formula>0</formula>
    </cfRule>
  </conditionalFormatting>
  <conditionalFormatting sqref="F29:N30">
    <cfRule type="cellIs" dxfId="81" priority="82" operator="equal">
      <formula>"Lançar o valor mesmo que ZERO"</formula>
    </cfRule>
  </conditionalFormatting>
  <conditionalFormatting sqref="C29:D30">
    <cfRule type="cellIs" dxfId="80" priority="81" operator="equal">
      <formula>"Descrição do Item"</formula>
    </cfRule>
  </conditionalFormatting>
  <conditionalFormatting sqref="O32">
    <cfRule type="cellIs" dxfId="79" priority="80" operator="equal">
      <formula>"Lançar valor para as duas etapas, mesmo que ZERO"</formula>
    </cfRule>
  </conditionalFormatting>
  <conditionalFormatting sqref="F32:N32 F31:G31 J31:L31">
    <cfRule type="cellIs" dxfId="78" priority="79" operator="equal">
      <formula>0</formula>
    </cfRule>
  </conditionalFormatting>
  <conditionalFormatting sqref="F31:N32">
    <cfRule type="cellIs" dxfId="77" priority="78" operator="equal">
      <formula>"Lançar o valor mesmo que ZERO"</formula>
    </cfRule>
  </conditionalFormatting>
  <conditionalFormatting sqref="C31:D32">
    <cfRule type="cellIs" dxfId="76" priority="77" operator="equal">
      <formula>"Descrição do Item"</formula>
    </cfRule>
  </conditionalFormatting>
  <conditionalFormatting sqref="O34">
    <cfRule type="cellIs" dxfId="75" priority="76" operator="equal">
      <formula>"Lançar valor para as duas etapas, mesmo que ZERO"</formula>
    </cfRule>
  </conditionalFormatting>
  <conditionalFormatting sqref="F34:N34 F33:G33 J33:L33">
    <cfRule type="cellIs" dxfId="74" priority="75" operator="equal">
      <formula>0</formula>
    </cfRule>
  </conditionalFormatting>
  <conditionalFormatting sqref="F33:N34">
    <cfRule type="cellIs" dxfId="73" priority="74" operator="equal">
      <formula>"Lançar o valor mesmo que ZERO"</formula>
    </cfRule>
  </conditionalFormatting>
  <conditionalFormatting sqref="C33:D34">
    <cfRule type="cellIs" dxfId="72" priority="73" operator="equal">
      <formula>"Descrição do Item"</formula>
    </cfRule>
  </conditionalFormatting>
  <conditionalFormatting sqref="O36">
    <cfRule type="cellIs" dxfId="71" priority="72" operator="equal">
      <formula>"Lançar valor para as duas etapas, mesmo que ZERO"</formula>
    </cfRule>
  </conditionalFormatting>
  <conditionalFormatting sqref="F36:N36 F35:G35 J35:L35">
    <cfRule type="cellIs" dxfId="70" priority="71" operator="equal">
      <formula>0</formula>
    </cfRule>
  </conditionalFormatting>
  <conditionalFormatting sqref="F35:N36">
    <cfRule type="cellIs" dxfId="69" priority="70" operator="equal">
      <formula>"Lançar o valor mesmo que ZERO"</formula>
    </cfRule>
  </conditionalFormatting>
  <conditionalFormatting sqref="C35:D36">
    <cfRule type="cellIs" dxfId="68" priority="69" operator="equal">
      <formula>"Descrição do Item"</formula>
    </cfRule>
  </conditionalFormatting>
  <conditionalFormatting sqref="O38">
    <cfRule type="cellIs" dxfId="67" priority="68" operator="equal">
      <formula>"Lançar valor para as duas etapas, mesmo que ZERO"</formula>
    </cfRule>
  </conditionalFormatting>
  <conditionalFormatting sqref="F38:N38 F37:G37 J37:L37">
    <cfRule type="cellIs" dxfId="66" priority="67" operator="equal">
      <formula>0</formula>
    </cfRule>
  </conditionalFormatting>
  <conditionalFormatting sqref="F37:N38">
    <cfRule type="cellIs" dxfId="65" priority="66" operator="equal">
      <formula>"Lançar o valor mesmo que ZERO"</formula>
    </cfRule>
  </conditionalFormatting>
  <conditionalFormatting sqref="C37:D38">
    <cfRule type="cellIs" dxfId="64" priority="65" operator="equal">
      <formula>"Descrição do Item"</formula>
    </cfRule>
  </conditionalFormatting>
  <conditionalFormatting sqref="O40">
    <cfRule type="cellIs" dxfId="63" priority="64" operator="equal">
      <formula>"Lançar valor para as duas etapas, mesmo que ZERO"</formula>
    </cfRule>
  </conditionalFormatting>
  <conditionalFormatting sqref="F40:N40 F39:G39 J39:L39">
    <cfRule type="cellIs" dxfId="62" priority="63" operator="equal">
      <formula>0</formula>
    </cfRule>
  </conditionalFormatting>
  <conditionalFormatting sqref="F39:N40">
    <cfRule type="cellIs" dxfId="61" priority="62" operator="equal">
      <formula>"Lançar o valor mesmo que ZERO"</formula>
    </cfRule>
  </conditionalFormatting>
  <conditionalFormatting sqref="C39:D40">
    <cfRule type="cellIs" dxfId="60" priority="61" operator="equal">
      <formula>"Descrição do Item"</formula>
    </cfRule>
  </conditionalFormatting>
  <conditionalFormatting sqref="O42">
    <cfRule type="cellIs" dxfId="59" priority="60" operator="equal">
      <formula>"Lançar valor para as duas etapas, mesmo que ZERO"</formula>
    </cfRule>
  </conditionalFormatting>
  <conditionalFormatting sqref="F42:N42 F41:G41 J41:L41">
    <cfRule type="cellIs" dxfId="58" priority="59" operator="equal">
      <formula>0</formula>
    </cfRule>
  </conditionalFormatting>
  <conditionalFormatting sqref="F41:N42">
    <cfRule type="cellIs" dxfId="57" priority="58" operator="equal">
      <formula>"Lançar o valor mesmo que ZERO"</formula>
    </cfRule>
  </conditionalFormatting>
  <conditionalFormatting sqref="C41:D42">
    <cfRule type="cellIs" dxfId="56" priority="57" operator="equal">
      <formula>"Descrição do Item"</formula>
    </cfRule>
  </conditionalFormatting>
  <conditionalFormatting sqref="O44">
    <cfRule type="cellIs" dxfId="55" priority="56" operator="equal">
      <formula>"Lançar valor para as duas etapas, mesmo que ZERO"</formula>
    </cfRule>
  </conditionalFormatting>
  <conditionalFormatting sqref="F44:N44 F43:G43 J43:L43">
    <cfRule type="cellIs" dxfId="54" priority="55" operator="equal">
      <formula>0</formula>
    </cfRule>
  </conditionalFormatting>
  <conditionalFormatting sqref="F43:N44">
    <cfRule type="cellIs" dxfId="53" priority="54" operator="equal">
      <formula>"Lançar o valor mesmo que ZERO"</formula>
    </cfRule>
  </conditionalFormatting>
  <conditionalFormatting sqref="C43:D44">
    <cfRule type="cellIs" dxfId="52" priority="53" operator="equal">
      <formula>"Descrição do Item"</formula>
    </cfRule>
  </conditionalFormatting>
  <conditionalFormatting sqref="O46">
    <cfRule type="cellIs" dxfId="51" priority="52" operator="equal">
      <formula>"Lançar valor para as duas etapas, mesmo que ZERO"</formula>
    </cfRule>
  </conditionalFormatting>
  <conditionalFormatting sqref="F45:G45 J45:L45 F46:N46">
    <cfRule type="cellIs" dxfId="50" priority="51" operator="equal">
      <formula>0</formula>
    </cfRule>
  </conditionalFormatting>
  <conditionalFormatting sqref="F45:N46">
    <cfRule type="cellIs" dxfId="49" priority="50" operator="equal">
      <formula>"Lançar o valor mesmo que ZERO"</formula>
    </cfRule>
  </conditionalFormatting>
  <conditionalFormatting sqref="C45:D46">
    <cfRule type="cellIs" dxfId="48" priority="49" operator="equal">
      <formula>"Descrição do Item"</formula>
    </cfRule>
  </conditionalFormatting>
  <conditionalFormatting sqref="O48">
    <cfRule type="cellIs" dxfId="47" priority="48" operator="equal">
      <formula>"Lançar valor para as duas etapas, mesmo que ZERO"</formula>
    </cfRule>
  </conditionalFormatting>
  <conditionalFormatting sqref="F48:N48 F47:G47 J47:L47">
    <cfRule type="cellIs" dxfId="46" priority="47" operator="equal">
      <formula>0</formula>
    </cfRule>
  </conditionalFormatting>
  <conditionalFormatting sqref="F47:N48">
    <cfRule type="cellIs" dxfId="45" priority="46" operator="equal">
      <formula>"Lançar o valor mesmo que ZERO"</formula>
    </cfRule>
  </conditionalFormatting>
  <conditionalFormatting sqref="C47:D48">
    <cfRule type="cellIs" dxfId="44" priority="45" operator="equal">
      <formula>"Descrição do Item"</formula>
    </cfRule>
  </conditionalFormatting>
  <conditionalFormatting sqref="O50">
    <cfRule type="cellIs" dxfId="43" priority="44" operator="equal">
      <formula>"Lançar valor para as duas etapas, mesmo que ZERO"</formula>
    </cfRule>
  </conditionalFormatting>
  <conditionalFormatting sqref="F50:N50 F49:G49 J49:L49">
    <cfRule type="cellIs" dxfId="42" priority="43" operator="equal">
      <formula>0</formula>
    </cfRule>
  </conditionalFormatting>
  <conditionalFormatting sqref="F49:N50">
    <cfRule type="cellIs" dxfId="41" priority="42" operator="equal">
      <formula>"Lançar o valor mesmo que ZERO"</formula>
    </cfRule>
  </conditionalFormatting>
  <conditionalFormatting sqref="C49:D50">
    <cfRule type="cellIs" dxfId="40" priority="41" operator="equal">
      <formula>"Descrição do Item"</formula>
    </cfRule>
  </conditionalFormatting>
  <conditionalFormatting sqref="O68">
    <cfRule type="cellIs" dxfId="39" priority="40" operator="equal">
      <formula>"Lançar valor para as duas etapas, mesmo que ZERO"</formula>
    </cfRule>
  </conditionalFormatting>
  <conditionalFormatting sqref="F68:N68 F67:G67 J67:L67">
    <cfRule type="cellIs" dxfId="38" priority="39" operator="equal">
      <formula>0</formula>
    </cfRule>
  </conditionalFormatting>
  <conditionalFormatting sqref="F67:N68">
    <cfRule type="cellIs" dxfId="37" priority="38" operator="equal">
      <formula>"Lançar o valor mesmo que ZERO"</formula>
    </cfRule>
  </conditionalFormatting>
  <conditionalFormatting sqref="C67:D68">
    <cfRule type="cellIs" dxfId="36" priority="37" operator="equal">
      <formula>"Descrição do Item"</formula>
    </cfRule>
  </conditionalFormatting>
  <conditionalFormatting sqref="O70">
    <cfRule type="cellIs" dxfId="35" priority="36" operator="equal">
      <formula>"Lançar valor para as duas etapas, mesmo que ZERO"</formula>
    </cfRule>
  </conditionalFormatting>
  <conditionalFormatting sqref="F70:N70 F69:G69 J69:L69">
    <cfRule type="cellIs" dxfId="34" priority="35" operator="equal">
      <formula>0</formula>
    </cfRule>
  </conditionalFormatting>
  <conditionalFormatting sqref="F69:N70">
    <cfRule type="cellIs" dxfId="33" priority="34" operator="equal">
      <formula>"Lançar o valor mesmo que ZERO"</formula>
    </cfRule>
  </conditionalFormatting>
  <conditionalFormatting sqref="C69:D70">
    <cfRule type="cellIs" dxfId="32" priority="33" operator="equal">
      <formula>"Descrição do Item"</formula>
    </cfRule>
  </conditionalFormatting>
  <conditionalFormatting sqref="O52">
    <cfRule type="cellIs" dxfId="31" priority="32" operator="equal">
      <formula>"Lançar valor para as duas etapas, mesmo que ZERO"</formula>
    </cfRule>
  </conditionalFormatting>
  <conditionalFormatting sqref="F52:N52 F51:G51 J51:L51">
    <cfRule type="cellIs" dxfId="30" priority="31" operator="equal">
      <formula>0</formula>
    </cfRule>
  </conditionalFormatting>
  <conditionalFormatting sqref="F51:N52">
    <cfRule type="cellIs" dxfId="29" priority="30" operator="equal">
      <formula>"Lançar o valor mesmo que ZERO"</formula>
    </cfRule>
  </conditionalFormatting>
  <conditionalFormatting sqref="C51:D52">
    <cfRule type="cellIs" dxfId="28" priority="29" operator="equal">
      <formula>"Descrição do Item"</formula>
    </cfRule>
  </conditionalFormatting>
  <conditionalFormatting sqref="O54">
    <cfRule type="cellIs" dxfId="27" priority="28" operator="equal">
      <formula>"Lançar valor para as duas etapas, mesmo que ZERO"</formula>
    </cfRule>
  </conditionalFormatting>
  <conditionalFormatting sqref="F54:N54 F53:G53 J53:L53">
    <cfRule type="cellIs" dxfId="26" priority="27" operator="equal">
      <formula>0</formula>
    </cfRule>
  </conditionalFormatting>
  <conditionalFormatting sqref="F53:N54">
    <cfRule type="cellIs" dxfId="25" priority="26" operator="equal">
      <formula>"Lançar o valor mesmo que ZERO"</formula>
    </cfRule>
  </conditionalFormatting>
  <conditionalFormatting sqref="C53:D54">
    <cfRule type="cellIs" dxfId="24" priority="25" operator="equal">
      <formula>"Descrição do Item"</formula>
    </cfRule>
  </conditionalFormatting>
  <conditionalFormatting sqref="O56">
    <cfRule type="cellIs" dxfId="23" priority="24" operator="equal">
      <formula>"Lançar valor para as duas etapas, mesmo que ZERO"</formula>
    </cfRule>
  </conditionalFormatting>
  <conditionalFormatting sqref="F56:N56 F55:G55 J55:L55">
    <cfRule type="cellIs" dxfId="22" priority="23" operator="equal">
      <formula>0</formula>
    </cfRule>
  </conditionalFormatting>
  <conditionalFormatting sqref="F55:N56">
    <cfRule type="cellIs" dxfId="21" priority="22" operator="equal">
      <formula>"Lançar o valor mesmo que ZERO"</formula>
    </cfRule>
  </conditionalFormatting>
  <conditionalFormatting sqref="C55:D56">
    <cfRule type="cellIs" dxfId="20" priority="21" operator="equal">
      <formula>"Descrição do Item"</formula>
    </cfRule>
  </conditionalFormatting>
  <conditionalFormatting sqref="O58">
    <cfRule type="cellIs" dxfId="19" priority="20" operator="equal">
      <formula>"Lançar valor para as duas etapas, mesmo que ZERO"</formula>
    </cfRule>
  </conditionalFormatting>
  <conditionalFormatting sqref="F58:N58 F57:G57 J57:L57">
    <cfRule type="cellIs" dxfId="18" priority="19" operator="equal">
      <formula>0</formula>
    </cfRule>
  </conditionalFormatting>
  <conditionalFormatting sqref="F57:N58">
    <cfRule type="cellIs" dxfId="17" priority="18" operator="equal">
      <formula>"Lançar o valor mesmo que ZERO"</formula>
    </cfRule>
  </conditionalFormatting>
  <conditionalFormatting sqref="C57:D58">
    <cfRule type="cellIs" dxfId="16" priority="17" operator="equal">
      <formula>"Descrição do Item"</formula>
    </cfRule>
  </conditionalFormatting>
  <conditionalFormatting sqref="O60">
    <cfRule type="cellIs" dxfId="15" priority="16" operator="equal">
      <formula>"Lançar valor para as duas etapas, mesmo que ZERO"</formula>
    </cfRule>
  </conditionalFormatting>
  <conditionalFormatting sqref="F60:N60 F59:G59 J59:L59">
    <cfRule type="cellIs" dxfId="14" priority="15" operator="equal">
      <formula>0</formula>
    </cfRule>
  </conditionalFormatting>
  <conditionalFormatting sqref="F59:N60">
    <cfRule type="cellIs" dxfId="13" priority="14" operator="equal">
      <formula>"Lançar o valor mesmo que ZERO"</formula>
    </cfRule>
  </conditionalFormatting>
  <conditionalFormatting sqref="C59:D60">
    <cfRule type="cellIs" dxfId="12" priority="13" operator="equal">
      <formula>"Descrição do Item"</formula>
    </cfRule>
  </conditionalFormatting>
  <conditionalFormatting sqref="O62">
    <cfRule type="cellIs" dxfId="11" priority="12" operator="equal">
      <formula>"Lançar valor para as duas etapas, mesmo que ZERO"</formula>
    </cfRule>
  </conditionalFormatting>
  <conditionalFormatting sqref="F62:N62 F61:G61 J61:L61">
    <cfRule type="cellIs" dxfId="10" priority="11" operator="equal">
      <formula>0</formula>
    </cfRule>
  </conditionalFormatting>
  <conditionalFormatting sqref="F61:N62">
    <cfRule type="cellIs" dxfId="9" priority="10" operator="equal">
      <formula>"Lançar o valor mesmo que ZERO"</formula>
    </cfRule>
  </conditionalFormatting>
  <conditionalFormatting sqref="C61:D62">
    <cfRule type="cellIs" dxfId="8" priority="9" operator="equal">
      <formula>"Descrição do Item"</formula>
    </cfRule>
  </conditionalFormatting>
  <conditionalFormatting sqref="O64">
    <cfRule type="cellIs" dxfId="7" priority="8" operator="equal">
      <formula>"Lançar valor para as duas etapas, mesmo que ZERO"</formula>
    </cfRule>
  </conditionalFormatting>
  <conditionalFormatting sqref="F64:N64 F63:G63 J63:L63">
    <cfRule type="cellIs" dxfId="6" priority="7" operator="equal">
      <formula>0</formula>
    </cfRule>
  </conditionalFormatting>
  <conditionalFormatting sqref="F63:N64">
    <cfRule type="cellIs" dxfId="5" priority="6" operator="equal">
      <formula>"Lançar o valor mesmo que ZERO"</formula>
    </cfRule>
  </conditionalFormatting>
  <conditionalFormatting sqref="C63:D64">
    <cfRule type="cellIs" dxfId="4" priority="5" operator="equal">
      <formula>"Descrição do Item"</formula>
    </cfRule>
  </conditionalFormatting>
  <conditionalFormatting sqref="O66">
    <cfRule type="cellIs" dxfId="3" priority="4" operator="equal">
      <formula>"Lançar valor para as duas etapas, mesmo que ZERO"</formula>
    </cfRule>
  </conditionalFormatting>
  <conditionalFormatting sqref="F66:N66 F65:G65 J65:L65">
    <cfRule type="cellIs" dxfId="2" priority="3" operator="equal">
      <formula>0</formula>
    </cfRule>
  </conditionalFormatting>
  <conditionalFormatting sqref="F65:N66">
    <cfRule type="cellIs" dxfId="1" priority="2" operator="equal">
      <formula>"Lançar o valor mesmo que ZERO"</formula>
    </cfRule>
  </conditionalFormatting>
  <conditionalFormatting sqref="C65:D66">
    <cfRule type="cellIs" dxfId="0" priority="1" operator="equal">
      <formula>"Descrição do Item"</formula>
    </cfRule>
  </conditionalFormatting>
  <pageMargins left="1.1023622047244095" right="0.70866141732283472" top="0.74803149606299213" bottom="0.74803149606299213" header="0.31496062992125984" footer="0.31496062992125984"/>
  <pageSetup paperSize="9" scale="36" orientation="portrait" r:id="rId1"/>
  <rowBreaks count="1" manualBreakCount="1">
    <brk id="18" max="14" man="1"/>
  </rowBreaks>
  <colBreaks count="1" manualBreakCount="1">
    <brk id="2" max="7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21</vt:i4>
      </vt:variant>
    </vt:vector>
  </HeadingPairs>
  <TitlesOfParts>
    <vt:vector size="25" baseType="lpstr">
      <vt:lpstr>ORÇAMENTO</vt:lpstr>
      <vt:lpstr>MEMÓRIA DE CÁLCULO</vt:lpstr>
      <vt:lpstr>CRONOGRAMA FÍS. FINANCEIRO 12m</vt:lpstr>
      <vt:lpstr>CRONOG DE DESEMBOLSO</vt:lpstr>
      <vt:lpstr>'CRONOG DE DESEMBOLSO'!Area_de_impressao</vt:lpstr>
      <vt:lpstr>'CRONOGRAMA FÍS. FINANCEIRO 12m'!Area_de_impressao</vt:lpstr>
      <vt:lpstr>'MEMÓRIA DE CÁLCULO'!Area_de_impressao</vt:lpstr>
      <vt:lpstr>ORÇAMENTO!Area_de_impressao</vt:lpstr>
      <vt:lpstr>'CRONOGRAMA FÍS. FINANCEIRO 12m'!Print_Titles_0</vt:lpstr>
      <vt:lpstr>'CRONOGRAMA FÍS. FINANCEIRO 12m'!Print_Titles_0_0</vt:lpstr>
      <vt:lpstr>'CRONOGRAMA FÍS. FINANCEIRO 12m'!Print_Titles_0_0_0</vt:lpstr>
      <vt:lpstr>'CRONOGRAMA FÍS. FINANCEIRO 12m'!Print_Titles_0_0_0_0</vt:lpstr>
      <vt:lpstr>'CRONOGRAMA FÍS. FINANCEIRO 12m'!Print_Titles_0_0_0_0_0</vt:lpstr>
      <vt:lpstr>'CRONOGRAMA FÍS. FINANCEIRO 12m'!Print_Titles_0_0_0_0_0_0</vt:lpstr>
      <vt:lpstr>'CRONOGRAMA FÍS. FINANCEIRO 12m'!Print_Titles_0_0_0_0_0_0_0</vt:lpstr>
      <vt:lpstr>'CRONOGRAMA FÍS. FINANCEIRO 12m'!Print_Titles_0_0_0_0_0_0_0_0</vt:lpstr>
      <vt:lpstr>'CRONOGRAMA FÍS. FINANCEIRO 12m'!Print_Titles_0_0_0_0_0_0_0_0_0</vt:lpstr>
      <vt:lpstr>'CRONOGRAMA FÍS. FINANCEIRO 12m'!Print_Titles_0_0_0_0_0_0_0_0_0_0</vt:lpstr>
      <vt:lpstr>'CRONOGRAMA FÍS. FINANCEIRO 12m'!Print_Titles_0_0_0_0_0_0_0_0_0_0_0</vt:lpstr>
      <vt:lpstr>'CRONOGRAMA FÍS. FINANCEIRO 12m'!Print_Titles_0_0_0_0_0_0_0_0_0_0_0_0</vt:lpstr>
      <vt:lpstr>'CRONOGRAMA FÍS. FINANCEIRO 12m'!Print_Titles_0_0_0_0_0_0_0_0_0_0_0_0_0</vt:lpstr>
      <vt:lpstr>'CRONOGRAMA FÍS. FINANCEIRO 12m'!Print_Titles_0_0_0_0_0_0_0_0_0_0_0_0_0_0</vt:lpstr>
      <vt:lpstr>'CRONOGRAMA FÍS. FINANCEIRO 12m'!Titulos_de_impressao</vt:lpstr>
      <vt:lpstr>'MEMÓRIA DE CÁLCULO'!Titulos_de_impressao</vt:lpstr>
      <vt:lpstr>ORÇAMENTO!Titulos_de_impressao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Denis</cp:lastModifiedBy>
  <cp:lastPrinted>2023-01-06T13:47:34Z</cp:lastPrinted>
  <dcterms:created xsi:type="dcterms:W3CDTF">2017-08-30T19:42:29Z</dcterms:created>
  <dcterms:modified xsi:type="dcterms:W3CDTF">2023-01-06T18:53:42Z</dcterms:modified>
</cp:coreProperties>
</file>