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60" windowHeight="7455" tabRatio="757"/>
  </bookViews>
  <sheets>
    <sheet name="ORÇAMENTO" sheetId="1" r:id="rId1"/>
    <sheet name="MEMÓRIA DE CÁLCULO" sheetId="2" r:id="rId2"/>
    <sheet name="Cronograma Fis-Fin. 12 meses" sheetId="4" r:id="rId3"/>
    <sheet name="CRONOGRAMA DE DESEMBOLSO PADRÃO" sheetId="5" r:id="rId4"/>
  </sheets>
  <definedNames>
    <definedName name="_xlnm.Print_Area" localSheetId="3">'CRONOGRAMA DE DESEMBOLSO PADRÃO'!$A$1:$S$93</definedName>
    <definedName name="_xlnm.Print_Area" localSheetId="2">'Cronograma Fis-Fin. 12 meses'!$A$1:$P$82</definedName>
    <definedName name="_xlnm.Print_Area" localSheetId="1">'MEMÓRIA DE CÁLCULO'!$A$1:$H$335</definedName>
    <definedName name="_xlnm.Print_Area" localSheetId="0">ORÇAMENTO!$A$1:$H$366</definedName>
    <definedName name="_xlnm.Print_Titles" localSheetId="2">'Cronograma Fis-Fin. 12 meses'!$1:$18</definedName>
    <definedName name="_xlnm.Print_Titles" localSheetId="1">'MEMÓRIA DE CÁLCULO'!$1:$15</definedName>
    <definedName name="_xlnm.Print_Titles" localSheetId="0">ORÇAMENTO!$1:$15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6" i="4"/>
  <c r="D76"/>
  <c r="P68"/>
  <c r="P56"/>
  <c r="F42"/>
  <c r="G42"/>
  <c r="E42"/>
  <c r="D42"/>
  <c r="G76"/>
  <c r="I156" i="1"/>
  <c r="I178"/>
  <c r="O76" i="4"/>
  <c r="N76"/>
  <c r="M76"/>
  <c r="L76"/>
  <c r="K76"/>
  <c r="J76"/>
  <c r="I76"/>
  <c r="H76"/>
  <c r="M68"/>
  <c r="N68"/>
  <c r="P70"/>
  <c r="K66"/>
  <c r="N64"/>
  <c r="P62"/>
  <c r="O62"/>
  <c r="P44"/>
  <c r="P42" l="1"/>
  <c r="F76"/>
  <c r="I214" i="1" l="1"/>
  <c r="I28" i="4" l="1"/>
  <c r="G28"/>
  <c r="H28"/>
  <c r="F28"/>
  <c r="E28"/>
  <c r="D28"/>
  <c r="F49" i="2"/>
  <c r="F51" i="1"/>
  <c r="F49"/>
  <c r="I70" l="1"/>
  <c r="S68" i="5"/>
  <c r="G67" s="1"/>
  <c r="M56" i="4"/>
  <c r="J54"/>
  <c r="K54"/>
  <c r="N52"/>
  <c r="I52"/>
  <c r="G50"/>
  <c r="H50"/>
  <c r="F48"/>
  <c r="D46"/>
  <c r="F315" i="2"/>
  <c r="F326"/>
  <c r="F325"/>
  <c r="F323"/>
  <c r="F324" s="1"/>
  <c r="F321"/>
  <c r="F322" s="1"/>
  <c r="F327" s="1"/>
  <c r="F320"/>
  <c r="F319"/>
  <c r="F318"/>
  <c r="F317"/>
  <c r="F316"/>
  <c r="F346" i="1"/>
  <c r="F347"/>
  <c r="F344"/>
  <c r="F345" s="1"/>
  <c r="F342"/>
  <c r="F341"/>
  <c r="F340"/>
  <c r="F338"/>
  <c r="F337"/>
  <c r="F336"/>
  <c r="F163" i="2"/>
  <c r="F162"/>
  <c r="F161"/>
  <c r="F160"/>
  <c r="F159"/>
  <c r="F174" i="1"/>
  <c r="F173"/>
  <c r="F172"/>
  <c r="F171"/>
  <c r="I38" i="4"/>
  <c r="H38"/>
  <c r="J38"/>
  <c r="F34"/>
  <c r="K30"/>
  <c r="J24"/>
  <c r="I24"/>
  <c r="H22"/>
  <c r="G22"/>
  <c r="E22"/>
  <c r="F22"/>
  <c r="F310" i="2"/>
  <c r="F311" s="1"/>
  <c r="F312" s="1"/>
  <c r="F301"/>
  <c r="F293"/>
  <c r="F282"/>
  <c r="F281"/>
  <c r="F280"/>
  <c r="F275"/>
  <c r="F274"/>
  <c r="F268"/>
  <c r="F257"/>
  <c r="F254"/>
  <c r="F256" s="1"/>
  <c r="F244"/>
  <c r="F243"/>
  <c r="F232"/>
  <c r="F233" s="1"/>
  <c r="F230"/>
  <c r="F227"/>
  <c r="F226"/>
  <c r="F225"/>
  <c r="F224"/>
  <c r="F222"/>
  <c r="F223" s="1"/>
  <c r="F208"/>
  <c r="F207"/>
  <c r="F206"/>
  <c r="F205"/>
  <c r="F204"/>
  <c r="F203"/>
  <c r="F202"/>
  <c r="F200"/>
  <c r="F201" s="1"/>
  <c r="F199"/>
  <c r="F198"/>
  <c r="F197"/>
  <c r="F196"/>
  <c r="F194"/>
  <c r="F195" s="1"/>
  <c r="F191"/>
  <c r="F190"/>
  <c r="F188"/>
  <c r="F189" s="1"/>
  <c r="F187"/>
  <c r="F186"/>
  <c r="F185"/>
  <c r="F183"/>
  <c r="F184" s="1"/>
  <c r="F182"/>
  <c r="F181"/>
  <c r="F179"/>
  <c r="F180" s="1"/>
  <c r="F178"/>
  <c r="F177"/>
  <c r="F176"/>
  <c r="F175"/>
  <c r="F170"/>
  <c r="F168"/>
  <c r="F156"/>
  <c r="F154"/>
  <c r="F155" s="1"/>
  <c r="F153"/>
  <c r="F152"/>
  <c r="F151"/>
  <c r="F150"/>
  <c r="F149"/>
  <c r="F148"/>
  <c r="F138"/>
  <c r="F144"/>
  <c r="F143"/>
  <c r="F141"/>
  <c r="F142" s="1"/>
  <c r="F137"/>
  <c r="F134"/>
  <c r="F135" s="1"/>
  <c r="F136" s="1"/>
  <c r="F133"/>
  <c r="F106"/>
  <c r="F105"/>
  <c r="F104"/>
  <c r="F99"/>
  <c r="F98"/>
  <c r="F92"/>
  <c r="F91"/>
  <c r="F90"/>
  <c r="F89"/>
  <c r="F88"/>
  <c r="F70"/>
  <c r="F67"/>
  <c r="F66"/>
  <c r="F65"/>
  <c r="F64"/>
  <c r="F63"/>
  <c r="F60"/>
  <c r="F61" s="1"/>
  <c r="F62" s="1"/>
  <c r="F59"/>
  <c r="F58"/>
  <c r="F56"/>
  <c r="F54"/>
  <c r="F55" s="1"/>
  <c r="F52"/>
  <c r="F51"/>
  <c r="F57" s="1"/>
  <c r="F50"/>
  <c r="F47"/>
  <c r="F48" s="1"/>
  <c r="F43"/>
  <c r="F40" s="1"/>
  <c r="F37"/>
  <c r="F41" s="1"/>
  <c r="F42" s="1"/>
  <c r="F36"/>
  <c r="F35"/>
  <c r="F34"/>
  <c r="F110" i="1"/>
  <c r="F109"/>
  <c r="F147"/>
  <c r="F144"/>
  <c r="F170"/>
  <c r="F93"/>
  <c r="F330"/>
  <c r="F331" s="1"/>
  <c r="F215" i="2"/>
  <c r="F230" i="1"/>
  <c r="F297"/>
  <c r="F291"/>
  <c r="F33" i="2" l="1"/>
  <c r="K67" i="5"/>
  <c r="P67"/>
  <c r="P72" i="4"/>
  <c r="F343" i="1"/>
  <c r="F339"/>
  <c r="F332"/>
  <c r="F255" i="2"/>
  <c r="F53"/>
  <c r="O71" i="4" l="1"/>
  <c r="N71"/>
  <c r="M71"/>
  <c r="L71"/>
  <c r="K71"/>
  <c r="F348" i="1"/>
  <c r="S67" i="5"/>
  <c r="F154" i="1"/>
  <c r="F153"/>
  <c r="F151"/>
  <c r="F152" l="1"/>
  <c r="F76" i="5" l="1"/>
  <c r="J76"/>
  <c r="N76"/>
  <c r="S72" l="1"/>
  <c r="P71" s="1"/>
  <c r="S70"/>
  <c r="P69" s="1"/>
  <c r="S66"/>
  <c r="K65" s="1"/>
  <c r="S64"/>
  <c r="K63" s="1"/>
  <c r="S62"/>
  <c r="P61" s="1"/>
  <c r="S60"/>
  <c r="P59" s="1"/>
  <c r="S58"/>
  <c r="P57" s="1"/>
  <c r="S56"/>
  <c r="P55" s="1"/>
  <c r="S38"/>
  <c r="P37" s="1"/>
  <c r="S34"/>
  <c r="P33" s="1"/>
  <c r="S32"/>
  <c r="S46"/>
  <c r="G45" s="1"/>
  <c r="S44"/>
  <c r="G43" s="1"/>
  <c r="S42"/>
  <c r="P41" s="1"/>
  <c r="S40"/>
  <c r="P39" s="1"/>
  <c r="S36"/>
  <c r="K35" s="1"/>
  <c r="P74" i="4"/>
  <c r="M67"/>
  <c r="H66"/>
  <c r="P66"/>
  <c r="P64"/>
  <c r="N63" s="1"/>
  <c r="P60"/>
  <c r="M59" s="1"/>
  <c r="P58"/>
  <c r="L56"/>
  <c r="P54"/>
  <c r="E46"/>
  <c r="P52"/>
  <c r="P50"/>
  <c r="P48"/>
  <c r="P40"/>
  <c r="K39" s="1"/>
  <c r="P30"/>
  <c r="J73" l="1"/>
  <c r="O69"/>
  <c r="O61"/>
  <c r="N61"/>
  <c r="I43"/>
  <c r="H43"/>
  <c r="F41"/>
  <c r="D41"/>
  <c r="E41"/>
  <c r="G41"/>
  <c r="G57" i="5"/>
  <c r="K43"/>
  <c r="N67" i="4"/>
  <c r="P71"/>
  <c r="K65"/>
  <c r="G65"/>
  <c r="H65"/>
  <c r="F63"/>
  <c r="J57"/>
  <c r="G49"/>
  <c r="H49"/>
  <c r="F47"/>
  <c r="P76"/>
  <c r="K69" i="5"/>
  <c r="P65"/>
  <c r="G65"/>
  <c r="G63"/>
  <c r="P63"/>
  <c r="G59"/>
  <c r="K59"/>
  <c r="S59" s="1"/>
  <c r="G55"/>
  <c r="K55"/>
  <c r="K45"/>
  <c r="P45"/>
  <c r="P43"/>
  <c r="G71"/>
  <c r="K71"/>
  <c r="S71" s="1"/>
  <c r="G69"/>
  <c r="G61"/>
  <c r="K61"/>
  <c r="K57"/>
  <c r="P35"/>
  <c r="G35"/>
  <c r="G41"/>
  <c r="K41"/>
  <c r="G39"/>
  <c r="K39"/>
  <c r="G37"/>
  <c r="K37"/>
  <c r="G33"/>
  <c r="K33"/>
  <c r="S33" s="1"/>
  <c r="J53" i="4"/>
  <c r="P46"/>
  <c r="E47"/>
  <c r="L55"/>
  <c r="M55"/>
  <c r="P38"/>
  <c r="K53"/>
  <c r="N51"/>
  <c r="I51"/>
  <c r="S61" i="5" l="1"/>
  <c r="S57"/>
  <c r="S45"/>
  <c r="S43"/>
  <c r="S39"/>
  <c r="J37" i="4"/>
  <c r="S69" i="5"/>
  <c r="S65"/>
  <c r="S63"/>
  <c r="S55"/>
  <c r="S41"/>
  <c r="S37"/>
  <c r="S35"/>
  <c r="E45" i="4"/>
  <c r="H45"/>
  <c r="G45"/>
  <c r="F45"/>
  <c r="D45"/>
  <c r="F165" i="1" l="1"/>
  <c r="F163"/>
  <c r="F164"/>
  <c r="F162"/>
  <c r="F161"/>
  <c r="F166" l="1"/>
  <c r="F167"/>
  <c r="F160"/>
  <c r="F159"/>
  <c r="F145"/>
  <c r="F143"/>
  <c r="F219" i="2"/>
  <c r="F218"/>
  <c r="F217"/>
  <c r="F216"/>
  <c r="F146" i="1" l="1"/>
  <c r="F212" i="2"/>
  <c r="F211"/>
  <c r="F125" l="1"/>
  <c r="F124"/>
  <c r="F121"/>
  <c r="F120"/>
  <c r="F119"/>
  <c r="F118"/>
  <c r="F116"/>
  <c r="F117" s="1"/>
  <c r="F115"/>
  <c r="F114"/>
  <c r="F111"/>
  <c r="F110"/>
  <c r="F20"/>
  <c r="F21" s="1"/>
  <c r="F19"/>
  <c r="F25" l="1"/>
  <c r="F26"/>
  <c r="F317" i="1" l="1"/>
  <c r="F309"/>
  <c r="F185"/>
  <c r="F121"/>
  <c r="F122"/>
  <c r="F298" l="1"/>
  <c r="F290"/>
  <c r="F296"/>
  <c r="F284"/>
  <c r="F273" l="1"/>
  <c r="F270"/>
  <c r="F260"/>
  <c r="F259"/>
  <c r="F238"/>
  <c r="F248"/>
  <c r="F249" s="1"/>
  <c r="F272" l="1"/>
  <c r="F271"/>
  <c r="F246"/>
  <c r="F253" s="1"/>
  <c r="F241"/>
  <c r="F243"/>
  <c r="F242"/>
  <c r="F240"/>
  <c r="F252" s="1"/>
  <c r="F239"/>
  <c r="F234"/>
  <c r="F233"/>
  <c r="F232"/>
  <c r="F231"/>
  <c r="F227" l="1"/>
  <c r="F226"/>
  <c r="F213"/>
  <c r="F212"/>
  <c r="F209"/>
  <c r="F210" s="1"/>
  <c r="F223"/>
  <c r="F222"/>
  <c r="F221"/>
  <c r="F220"/>
  <c r="F219"/>
  <c r="F218"/>
  <c r="F217"/>
  <c r="F215"/>
  <c r="F216" s="1"/>
  <c r="F214"/>
  <c r="F211"/>
  <c r="F203"/>
  <c r="F206"/>
  <c r="F205"/>
  <c r="F202"/>
  <c r="F201"/>
  <c r="F200"/>
  <c r="F198"/>
  <c r="F197"/>
  <c r="F196"/>
  <c r="F194"/>
  <c r="F191"/>
  <c r="F193"/>
  <c r="F192"/>
  <c r="F190"/>
  <c r="F183"/>
  <c r="F204" l="1"/>
  <c r="F199"/>
  <c r="F195"/>
  <c r="F53" l="1"/>
  <c r="F55" s="1"/>
  <c r="F20"/>
  <c r="F19"/>
  <c r="F148" l="1"/>
  <c r="F92" l="1"/>
  <c r="F103" l="1"/>
  <c r="F21"/>
  <c r="S75" i="5" l="1"/>
  <c r="S54"/>
  <c r="K53" s="1"/>
  <c r="S52"/>
  <c r="P51" s="1"/>
  <c r="S50"/>
  <c r="G49" s="1"/>
  <c r="S48"/>
  <c r="P47" s="1"/>
  <c r="P31"/>
  <c r="S30"/>
  <c r="P29" s="1"/>
  <c r="S28"/>
  <c r="P27" s="1"/>
  <c r="S26"/>
  <c r="K25" s="1"/>
  <c r="S24"/>
  <c r="P23" s="1"/>
  <c r="S22"/>
  <c r="P21" s="1"/>
  <c r="S20"/>
  <c r="G19" s="1"/>
  <c r="S18"/>
  <c r="P17" s="1"/>
  <c r="P53" l="1"/>
  <c r="G53"/>
  <c r="P49"/>
  <c r="K49"/>
  <c r="G47"/>
  <c r="G27"/>
  <c r="K47"/>
  <c r="G29"/>
  <c r="K29"/>
  <c r="K27"/>
  <c r="G23"/>
  <c r="K23"/>
  <c r="P19"/>
  <c r="G17"/>
  <c r="K17"/>
  <c r="O9"/>
  <c r="K19"/>
  <c r="P25"/>
  <c r="G21"/>
  <c r="G51"/>
  <c r="K21"/>
  <c r="G31"/>
  <c r="K51"/>
  <c r="F74"/>
  <c r="S76"/>
  <c r="F77" s="1"/>
  <c r="J74"/>
  <c r="G25"/>
  <c r="K31"/>
  <c r="N74"/>
  <c r="S49" l="1"/>
  <c r="S53"/>
  <c r="S47"/>
  <c r="S27"/>
  <c r="S21"/>
  <c r="S19"/>
  <c r="S17"/>
  <c r="S51"/>
  <c r="S31"/>
  <c r="S29"/>
  <c r="S25"/>
  <c r="S23"/>
  <c r="S74"/>
  <c r="N77"/>
  <c r="J77"/>
  <c r="S77" l="1"/>
  <c r="P28" i="4" l="1"/>
  <c r="P26"/>
  <c r="P24"/>
  <c r="F60" i="1"/>
  <c r="F61"/>
  <c r="F102"/>
  <c r="G27" i="4" l="1"/>
  <c r="K25"/>
  <c r="J23"/>
  <c r="K29"/>
  <c r="J29"/>
  <c r="E27"/>
  <c r="D27"/>
  <c r="F27"/>
  <c r="I27"/>
  <c r="H27"/>
  <c r="I23"/>
  <c r="F52" i="1" l="1"/>
  <c r="F54" l="1"/>
  <c r="F58"/>
  <c r="F56"/>
  <c r="F57" l="1"/>
  <c r="F59"/>
  <c r="F50"/>
  <c r="F72" l="1"/>
  <c r="F128" l="1"/>
  <c r="F127"/>
  <c r="F34"/>
  <c r="F36"/>
  <c r="F117"/>
  <c r="F67"/>
  <c r="P67" i="4" l="1"/>
  <c r="P59"/>
  <c r="P57"/>
  <c r="P55"/>
  <c r="P65"/>
  <c r="P53"/>
  <c r="P69"/>
  <c r="P63"/>
  <c r="P61"/>
  <c r="P51"/>
  <c r="P39"/>
  <c r="P43"/>
  <c r="P41"/>
  <c r="P49"/>
  <c r="P47"/>
  <c r="P45"/>
  <c r="J75"/>
  <c r="K75"/>
  <c r="N75"/>
  <c r="M75"/>
  <c r="O75"/>
  <c r="L75"/>
  <c r="F69" i="1" l="1"/>
  <c r="F68"/>
  <c r="F62"/>
  <c r="F63" s="1"/>
  <c r="F66"/>
  <c r="F65"/>
  <c r="F64" l="1"/>
  <c r="F43"/>
  <c r="F40" s="1"/>
  <c r="F37"/>
  <c r="F41" s="1"/>
  <c r="F42" s="1"/>
  <c r="F35"/>
  <c r="F33" s="1"/>
  <c r="F25" l="1"/>
  <c r="F26"/>
  <c r="I37" i="4" l="1"/>
  <c r="H37"/>
  <c r="F133" i="1"/>
  <c r="F132"/>
  <c r="P36" i="4" l="1"/>
  <c r="P34"/>
  <c r="P32"/>
  <c r="F116" i="1"/>
  <c r="F126"/>
  <c r="F125"/>
  <c r="F111"/>
  <c r="F123"/>
  <c r="F124" s="1"/>
  <c r="F94"/>
  <c r="F96"/>
  <c r="F95"/>
  <c r="D31" i="4" l="1"/>
  <c r="E33"/>
  <c r="F33"/>
  <c r="G35"/>
  <c r="P22" l="1"/>
  <c r="P20"/>
  <c r="G21" l="1"/>
  <c r="H21"/>
  <c r="D19"/>
  <c r="E21"/>
  <c r="F21"/>
  <c r="P73"/>
  <c r="P27" l="1"/>
  <c r="P29"/>
  <c r="P37"/>
  <c r="P35"/>
  <c r="P33"/>
  <c r="P31"/>
  <c r="D75"/>
  <c r="P25"/>
  <c r="P21"/>
  <c r="H75"/>
  <c r="F75"/>
  <c r="P19"/>
  <c r="E75"/>
  <c r="I75"/>
  <c r="P23"/>
  <c r="G75"/>
  <c r="P75" l="1"/>
</calcChain>
</file>

<file path=xl/sharedStrings.xml><?xml version="1.0" encoding="utf-8"?>
<sst xmlns="http://schemas.openxmlformats.org/spreadsheetml/2006/main" count="3145" uniqueCount="904">
  <si>
    <t>Ítem</t>
  </si>
  <si>
    <t>Base Serviços</t>
  </si>
  <si>
    <t>Códigos Serviços</t>
  </si>
  <si>
    <t>Descrição dos Serviços</t>
  </si>
  <si>
    <t>Unidade</t>
  </si>
  <si>
    <t>Quant.</t>
  </si>
  <si>
    <t>Preço Unitário R$</t>
  </si>
  <si>
    <t>Valor total R$</t>
  </si>
  <si>
    <t>Planilha Orçamentária</t>
  </si>
  <si>
    <t>m²</t>
  </si>
  <si>
    <t>m³</t>
  </si>
  <si>
    <t>Estado de São Paulo</t>
  </si>
  <si>
    <t>Prefeitura Municipal da Estância Turística de Paraguaçu Paulista</t>
  </si>
  <si>
    <t>Remoção de poste de concreto</t>
  </si>
  <si>
    <t>04.21.130</t>
  </si>
  <si>
    <t>unid</t>
  </si>
  <si>
    <t>34.01.020</t>
  </si>
  <si>
    <t>Plantio de grama São Carlos em placas (jardins e canteiros)</t>
  </si>
  <si>
    <t>34.02.080</t>
  </si>
  <si>
    <t>54.01.010</t>
  </si>
  <si>
    <t>Pavimentação em lajota de concreto 35 MPa, espessura 8 cm, tipos: raquete, retangular, sextavado e 16 faces, com rejunte em areia</t>
  </si>
  <si>
    <t>54.04.350</t>
  </si>
  <si>
    <t>Pista de Skate</t>
  </si>
  <si>
    <t>Porta/portão tipo gradil sob medida</t>
  </si>
  <si>
    <t>24.02.040</t>
  </si>
  <si>
    <t>Pista de kart</t>
  </si>
  <si>
    <t>70.02.010</t>
  </si>
  <si>
    <t>54.03.210</t>
  </si>
  <si>
    <t>Camada de rolamento em concreto betuminoso usinado quente - CBUQ</t>
  </si>
  <si>
    <t>Imprimação betuminosa ligante</t>
  </si>
  <si>
    <t>54.03.230</t>
  </si>
  <si>
    <t>A</t>
  </si>
  <si>
    <t>Serviços preliminares</t>
  </si>
  <si>
    <t>Apicoamento manual de piso, parede ou teto</t>
  </si>
  <si>
    <t>03.03.020</t>
  </si>
  <si>
    <t>05.07.040</t>
  </si>
  <si>
    <t>Epóxi em massa, inclusive preparo</t>
  </si>
  <si>
    <t>33.10.060</t>
  </si>
  <si>
    <t>Estucamento e lixamento de concreto deteriorado</t>
  </si>
  <si>
    <t>33.01.040</t>
  </si>
  <si>
    <t>Tinta acrílica antimofo em massa, inclusive preparo</t>
  </si>
  <si>
    <t>33.10.030</t>
  </si>
  <si>
    <t>TOTAL</t>
  </si>
  <si>
    <t>1.1</t>
  </si>
  <si>
    <t>1.2</t>
  </si>
  <si>
    <t>1.3</t>
  </si>
  <si>
    <t>B</t>
  </si>
  <si>
    <t>Subtotal Item A</t>
  </si>
  <si>
    <t>Arq. Dênis Mendes de Moraes</t>
  </si>
  <si>
    <t xml:space="preserve">         CAU A-96375-5</t>
  </si>
  <si>
    <t>4.1</t>
  </si>
  <si>
    <t>33.07.102</t>
  </si>
  <si>
    <t>4.2</t>
  </si>
  <si>
    <t>03.10.100</t>
  </si>
  <si>
    <t>Remoção de pintura em superfícies de madeira e/ou metálicas com lixamento</t>
  </si>
  <si>
    <t>Pavimentação e Pasagismo</t>
  </si>
  <si>
    <t>Limpeza e regularização de áreas para ajardinamento (jardins,canteiros e pavimentação)</t>
  </si>
  <si>
    <t>Pintura</t>
  </si>
  <si>
    <t>Subtotal Item 1</t>
  </si>
  <si>
    <t>Subtotal Item 2</t>
  </si>
  <si>
    <t>Subtotal Item 3</t>
  </si>
  <si>
    <t>Subtotal Item 4</t>
  </si>
  <si>
    <t>Regularização e compactação mecanizada de superfície, sem controle do proctor normal</t>
  </si>
  <si>
    <t>2.1</t>
  </si>
  <si>
    <t>2.2</t>
  </si>
  <si>
    <t>3.1</t>
  </si>
  <si>
    <t>3.2</t>
  </si>
  <si>
    <t>3.3</t>
  </si>
  <si>
    <t>3.4</t>
  </si>
  <si>
    <t>3.5</t>
  </si>
  <si>
    <t>4.3</t>
  </si>
  <si>
    <t>Recuperação da pista de Kart</t>
  </si>
  <si>
    <t>Local: Avenida Aeroporto, S/N - Jd. Aeroporto</t>
  </si>
  <si>
    <t>Objeto: Intervenções e Melhorias no Centro de Convergência Turística</t>
  </si>
  <si>
    <t>Sinalização horizontal com tinta vinílica ou acrílica (zebras e demarcação de limite)</t>
  </si>
  <si>
    <t>Memória de Cálculo</t>
  </si>
  <si>
    <t>REMOÇÃO DE 1 POSTE DE CONCRETO  INDICADO EM PROJETO</t>
  </si>
  <si>
    <t>2,4*2,1=5,04 m² - Portão para acesso ao local da pista de skate</t>
  </si>
  <si>
    <t xml:space="preserve">CRONOGRAMA FÍSICO - DESEMBOLSO E APLICAÇÃO DOS RECURSOS </t>
  </si>
  <si>
    <t>MUNICÍPIO:</t>
  </si>
  <si>
    <t>BOLETIM Nº.</t>
  </si>
  <si>
    <t xml:space="preserve">DATA BASE: </t>
  </si>
  <si>
    <t>OBJETO:</t>
  </si>
  <si>
    <t>PROCESSO:</t>
  </si>
  <si>
    <t>PRAZO PROPOSTO</t>
  </si>
  <si>
    <r>
      <t xml:space="preserve">INÍCIO: </t>
    </r>
    <r>
      <rPr>
        <sz val="10"/>
        <rFont val="Calibri"/>
        <family val="2"/>
        <scheme val="minor"/>
      </rPr>
      <t xml:space="preserve"> </t>
    </r>
  </si>
  <si>
    <t xml:space="preserve">180 dias da data da assinatura do convênio </t>
  </si>
  <si>
    <t>CONVÊNIO:</t>
  </si>
  <si>
    <r>
      <t>FINAL:</t>
    </r>
    <r>
      <rPr>
        <b/>
        <u/>
        <sz val="10"/>
        <color rgb="FFFF0000"/>
        <rFont val="Calibri"/>
        <family val="2"/>
        <scheme val="minor"/>
      </rPr>
      <t/>
    </r>
  </si>
  <si>
    <t>ITEM</t>
  </si>
  <si>
    <t>SERVIÇOS</t>
  </si>
  <si>
    <t>UNIDADE</t>
  </si>
  <si>
    <t>1ª   ETAPA</t>
  </si>
  <si>
    <t>2ª   ETAPA</t>
  </si>
  <si>
    <t>PERÍODO</t>
  </si>
  <si>
    <t>dias</t>
  </si>
  <si>
    <t>Licitação:</t>
  </si>
  <si>
    <t>Execução:</t>
  </si>
  <si>
    <t>Vistoria:</t>
  </si>
  <si>
    <t>Encerramento:</t>
  </si>
  <si>
    <t>Serviços Preliminares</t>
  </si>
  <si>
    <t>%</t>
  </si>
  <si>
    <t>R$</t>
  </si>
  <si>
    <t xml:space="preserve">RECURSOS ESTADUAIS </t>
  </si>
  <si>
    <t xml:space="preserve">RECURSOS PRÓPRIOS </t>
  </si>
  <si>
    <t xml:space="preserve">T O T A L  </t>
  </si>
  <si>
    <t>PORCENTAGEM DE SERVIÇOS</t>
  </si>
  <si>
    <t>CRONOGRAMA FÍSICO-FINANCEIRO</t>
  </si>
  <si>
    <r>
      <t xml:space="preserve">Convênio: </t>
    </r>
    <r>
      <rPr>
        <sz val="10"/>
        <rFont val="Arial"/>
        <family val="2"/>
      </rPr>
      <t>SECRETARIA DE TURISMO E VIAGENS – DEPARTAMENTO DE APOIO AO DESENVOLVIMENTO DAS ESTÂNCIAS – DADETUR 2022</t>
    </r>
  </si>
  <si>
    <r>
      <rPr>
        <b/>
        <sz val="8"/>
        <rFont val="Arial"/>
        <family val="2"/>
      </rPr>
      <t>MÊS</t>
    </r>
  </si>
  <si>
    <r>
      <rPr>
        <b/>
        <sz val="8"/>
        <rFont val="Arial"/>
        <family val="2"/>
      </rPr>
      <t>MÊS 1</t>
    </r>
  </si>
  <si>
    <r>
      <rPr>
        <b/>
        <sz val="8"/>
        <rFont val="Arial"/>
        <family val="2"/>
      </rPr>
      <t>MÊS 2</t>
    </r>
  </si>
  <si>
    <r>
      <rPr>
        <b/>
        <sz val="8"/>
        <rFont val="Arial"/>
        <family val="2"/>
      </rPr>
      <t>MÊS 3</t>
    </r>
  </si>
  <si>
    <r>
      <rPr>
        <b/>
        <sz val="8"/>
        <rFont val="Arial"/>
        <family val="2"/>
      </rPr>
      <t>MÊS 4</t>
    </r>
    <r>
      <rPr>
        <sz val="11"/>
        <color theme="1"/>
        <rFont val="Calibri"/>
        <family val="2"/>
        <scheme val="minor"/>
      </rPr>
      <t/>
    </r>
  </si>
  <si>
    <r>
      <rPr>
        <b/>
        <sz val="8"/>
        <rFont val="Arial"/>
        <family val="2"/>
      </rPr>
      <t>MÊS 5</t>
    </r>
    <r>
      <rPr>
        <sz val="11"/>
        <color theme="1"/>
        <rFont val="Calibri"/>
        <family val="2"/>
        <scheme val="minor"/>
      </rPr>
      <t/>
    </r>
  </si>
  <si>
    <r>
      <rPr>
        <b/>
        <sz val="8"/>
        <rFont val="Arial"/>
        <family val="2"/>
      </rPr>
      <t>MÊS 6</t>
    </r>
    <r>
      <rPr>
        <sz val="11"/>
        <color theme="1"/>
        <rFont val="Calibri"/>
        <family val="2"/>
        <scheme val="minor"/>
      </rPr>
      <t/>
    </r>
  </si>
  <si>
    <r>
      <rPr>
        <b/>
        <sz val="8"/>
        <rFont val="Arial"/>
        <family val="2"/>
      </rPr>
      <t>TOTAL</t>
    </r>
  </si>
  <si>
    <r>
      <rPr>
        <b/>
        <sz val="8"/>
        <rFont val="Arial"/>
        <family val="2"/>
      </rPr>
      <t>SERVIÇOS</t>
    </r>
  </si>
  <si>
    <r>
      <rPr>
        <sz val="8"/>
        <rFont val="Arial"/>
        <family val="2"/>
      </rPr>
      <t>1.0</t>
    </r>
  </si>
  <si>
    <t>2.0</t>
  </si>
  <si>
    <t>3.0</t>
  </si>
  <si>
    <t>4.0</t>
  </si>
  <si>
    <r>
      <rPr>
        <b/>
        <sz val="8"/>
        <rFont val="Arial"/>
        <family val="2"/>
      </rPr>
      <t>TOTAL (%)</t>
    </r>
  </si>
  <si>
    <t>TOTAL COM BDI (R$)</t>
  </si>
  <si>
    <t>Resp. Téc.: Arq. Dênis Mendes de Moraes</t>
  </si>
  <si>
    <t>CAU Nº.: A96375-5</t>
  </si>
  <si>
    <r>
      <rPr>
        <b/>
        <sz val="12"/>
        <color theme="1"/>
        <rFont val="Arial"/>
        <family val="2"/>
      </rPr>
      <t>Objeto:</t>
    </r>
    <r>
      <rPr>
        <sz val="12"/>
        <color theme="1"/>
        <rFont val="Arial"/>
        <family val="2"/>
      </rPr>
      <t xml:space="preserve"> Intervenções e Melhorias no Centro de Convergência Turística</t>
    </r>
  </si>
  <si>
    <r>
      <rPr>
        <b/>
        <sz val="12"/>
        <color theme="1"/>
        <rFont val="Arial"/>
        <family val="2"/>
      </rPr>
      <t>Local:</t>
    </r>
    <r>
      <rPr>
        <sz val="12"/>
        <color theme="1"/>
        <rFont val="Arial"/>
        <family val="2"/>
      </rPr>
      <t xml:space="preserve"> Avenida Aeroporto, S/N - Jd. Aeroporto</t>
    </r>
  </si>
  <si>
    <r>
      <t xml:space="preserve">Objeto: </t>
    </r>
    <r>
      <rPr>
        <sz val="10"/>
        <rFont val="Arial"/>
        <family val="2"/>
      </rPr>
      <t>Intervenções e Melhorias no Centro de Convergência Turística - DADETUR 2022</t>
    </r>
  </si>
  <si>
    <r>
      <t xml:space="preserve">Local: </t>
    </r>
    <r>
      <rPr>
        <sz val="10"/>
        <rFont val="Arial"/>
        <family val="2"/>
      </rPr>
      <t>Local: Avenida Aeroporto, S/N - Jd. Aeroporto</t>
    </r>
  </si>
  <si>
    <t>Pavimentação e Paísagismo</t>
  </si>
  <si>
    <t>1.0</t>
  </si>
  <si>
    <t>Pavimentação e Paisagismo</t>
  </si>
  <si>
    <t>Intervenções e Melhorias no Centro de Convergência Turística - DADETUR 2022</t>
  </si>
  <si>
    <t>RRT's: 12092402 - 12092560</t>
  </si>
  <si>
    <t>1.4</t>
  </si>
  <si>
    <t>02.08.040</t>
  </si>
  <si>
    <t>Placa em lona com impressão digital e requadro em metalon</t>
  </si>
  <si>
    <t>4*1,5= 6,00 m² - para identificação da obra</t>
  </si>
  <si>
    <t>Recuperação das pistas de skate</t>
  </si>
  <si>
    <t>Recuperação das Pistas de Skate</t>
  </si>
  <si>
    <t>Recuperação das pistas de Skate</t>
  </si>
  <si>
    <t>Varrição de pavimento para recapeamento</t>
  </si>
  <si>
    <t>54.01.410</t>
  </si>
  <si>
    <t>Perfil de acabamento com borracha termoplástica vulcanizada contínua flexível, para junta de dilatação de embutir - piso-piso</t>
  </si>
  <si>
    <t>32.07.230</t>
  </si>
  <si>
    <t>2.3</t>
  </si>
  <si>
    <t>2.4</t>
  </si>
  <si>
    <t>Corte de junta de dilatação, com serra de disco diamantado para pisos</t>
  </si>
  <si>
    <t>11.20.050</t>
  </si>
  <si>
    <t>m</t>
  </si>
  <si>
    <t>PARA JUNTA DE DILATAÇÃO</t>
  </si>
  <si>
    <t>Esmalte a base de água em estrutura metálica (tubos das pistas+cantoneiras e portao)</t>
  </si>
  <si>
    <t>Instalações Elétricas</t>
  </si>
  <si>
    <t>36.03.010</t>
  </si>
  <si>
    <t>Caixa de medição tipo II (300 x 560 x 200) mm, padrão concessionárias</t>
  </si>
  <si>
    <t>unid.</t>
  </si>
  <si>
    <t>37.13.640</t>
  </si>
  <si>
    <t>Disjuntor termomagnético, bipolar 220/380 V, corrente de 60 A até 100 A</t>
  </si>
  <si>
    <t>42.05.570</t>
  </si>
  <si>
    <t>Terminal estanhado com 1 furo e 1 compressão - 16 mm²</t>
  </si>
  <si>
    <t>68.20.120</t>
  </si>
  <si>
    <t>Bengala em PVC para ramal de entrada, diâmetro de 32 mm</t>
  </si>
  <si>
    <t>68.20.040</t>
  </si>
  <si>
    <t>Braçadeira circular em aço carbono galvanizado, diâmetro nominal de 140 até 300 mm</t>
  </si>
  <si>
    <t>37.03.200</t>
  </si>
  <si>
    <t>Quadro de distribuição universal de embutir, para disjuntores 16 DIN / 12 Bolt-on - 150 A - sem componentes</t>
  </si>
  <si>
    <t>37.13.630</t>
  </si>
  <si>
    <t>Disjuntor termomagnético, bipolar 220/380 V, corrente de 10 A até 50 A</t>
  </si>
  <si>
    <t>39.21.020</t>
  </si>
  <si>
    <t>Cabo de cobre flexível de 2,5 mm², isolamento 0,6/1kV - isolação HEPR 90°C</t>
  </si>
  <si>
    <t>39.21.010</t>
  </si>
  <si>
    <t>Cabo de cobre flexível de 1,5 mm², isolamento 0,6/1kV - isolação HEPR 90°C</t>
  </si>
  <si>
    <t>C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</si>
  <si>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</si>
  <si>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</si>
  <si>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</si>
  <si>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</si>
  <si>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</si>
  <si>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</si>
  <si>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</si>
  <si>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</si>
  <si>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</si>
  <si>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</si>
  <si>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</si>
  <si>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41.31.070</t>
  </si>
  <si>
    <t>Luminária LED quadrada de sobrepor com difusor prismático translúcido, 4000 K, fluxo luminoso de 1363 a 1800 lm, potência de 15 a 19 W</t>
  </si>
  <si>
    <t>Cabo de cobre flexível de 4 mm², isolamento 0,6/1kV - isolação HEPR 90°C</t>
  </si>
  <si>
    <t>1.16</t>
  </si>
  <si>
    <t>1.17</t>
  </si>
  <si>
    <t>1.18</t>
  </si>
  <si>
    <t>39.21.030</t>
  </si>
  <si>
    <t>cj</t>
  </si>
  <si>
    <t>40.04.490</t>
  </si>
  <si>
    <t>Conjunto 2 interruptores simples e 1 tomada 2P+T de 10 A, completo</t>
  </si>
  <si>
    <t>40.04.460</t>
  </si>
  <si>
    <t>Tomada 2P+T de 20 A - 250 V, completa</t>
  </si>
  <si>
    <t>Conclusão da torre de cronometragem da pista de Kart</t>
  </si>
  <si>
    <t>03.10.140</t>
  </si>
  <si>
    <t>33.11.050</t>
  </si>
  <si>
    <t>24.03.040</t>
  </si>
  <si>
    <t xml:space="preserve">Guarda-corpo tubular com tela em aço galvanizado, diâmetro de 1 1/2´ </t>
  </si>
  <si>
    <t>Tinta acrílica antimofo em massa, inclusive preparo  (interno e externo)</t>
  </si>
  <si>
    <t>Remoção de pintura em massa com lixamento (interno e externo)</t>
  </si>
  <si>
    <t>Metais, porta e Pingadeiras</t>
  </si>
  <si>
    <t>Corrimão tubular em aço galvanizado, diâmetro 1 1/2´</t>
  </si>
  <si>
    <t>24.03.310</t>
  </si>
  <si>
    <t>Porta/portão de abrir em chapa, sob medida</t>
  </si>
  <si>
    <t>24.02.060</t>
  </si>
  <si>
    <t>Esmalte à base água em superfície metálica, inclusive preparo (guarda-corpo, corrimão e porta)</t>
  </si>
  <si>
    <t>19.01.062</t>
  </si>
  <si>
    <t>Subtotal item 2</t>
  </si>
  <si>
    <t>Subtotal item 1</t>
  </si>
  <si>
    <t>33.06.020</t>
  </si>
  <si>
    <t>Acrílico para quadras e pisos cimentados (pisos e escada)</t>
  </si>
  <si>
    <t>Subtotal item 3</t>
  </si>
  <si>
    <t xml:space="preserve">42.05.190 </t>
  </si>
  <si>
    <t xml:space="preserve">Conector olhal cabo/haste de 3/4´ </t>
  </si>
  <si>
    <t>42.05.140</t>
  </si>
  <si>
    <t xml:space="preserve">Haste de aterramento de 3/4'' x 3 m </t>
  </si>
  <si>
    <t xml:space="preserve">Caixa de inspeção do terra cilíndrica em PVC rígido, diâmetro de 300 mm - h= 
250 mm
</t>
  </si>
  <si>
    <t>42.05.310</t>
  </si>
  <si>
    <t>Tampa para caixa de inspeção cilíndrica, aço galvanizado</t>
  </si>
  <si>
    <t>42.05.300</t>
  </si>
  <si>
    <t>Peitoril e/ou soleira em granito, espessura de 2 cm e largura até 20 cm, acabamento polido (para as aberturas da cabine)</t>
  </si>
  <si>
    <t>Aberturas</t>
  </si>
  <si>
    <t>4.4</t>
  </si>
  <si>
    <t>Vidro temperado incolor de 8 mm</t>
  </si>
  <si>
    <t>26.02.040</t>
  </si>
  <si>
    <t>PARA REDE ELÉTRICA DA TORRE</t>
  </si>
  <si>
    <t>0,8*2,1= 1,68 m² - para torre de cronometragem</t>
  </si>
  <si>
    <t>((9,01*3,13)+(14,18*3,57)+(8,98*1,61)+(7,67*3,13)+(17,17*2,65)+(7,72*1,8)+6,68+9,54)= 192,91 m² - para pintura interna e externa</t>
  </si>
  <si>
    <t>((9,01*3,13)+(14,18*3,57)+(8,98*1,61)+(7,67*3,13)+(17,17*2,65)+(7,72*1,8)+6,68+9,54)= 192,91 m² - para remoção de pintura interna e externa</t>
  </si>
  <si>
    <t>(0,12*10,37)+(0,8*2,1*2,5)+2,56= 8,00 m² - para guarda-corpo, corrimão e porta</t>
  </si>
  <si>
    <t>3,19+(0,8*0,16*0,18)+7,35= 10,56 m² - para pisos e escada</t>
  </si>
  <si>
    <t>Para aberturas da cabine</t>
  </si>
  <si>
    <t>PARA ILUMINAÇÃO DA TORRE</t>
  </si>
  <si>
    <t>Metais, porta e pingadeiras</t>
  </si>
  <si>
    <t>Subtotal item 4</t>
  </si>
  <si>
    <t>396,75-26,91= 369,84 m² - Para pavimentação em lajota</t>
  </si>
  <si>
    <t>396,75-26,91= 369,84 m² - Pavimentação em lajota</t>
  </si>
  <si>
    <t>(0,0628*(15+20,4+3,56+1+2,88+3,65+2,92))+(0,1*((6,6*2)+(2,56*2)+(3,4*2)+(3,74*2)+(2,26*2)))+5,04= 11,85 m² - para pintura dos guarda corpos</t>
  </si>
  <si>
    <t>(0,0628*(15+20,4+3,56+1+2,88+3,65+2,92))+(0,1*((6,6*2)+(2,56*2)+(3,4*2)+(3,74*2)+(2,26*2)))+5,04= 11,85 m² - para lixamento dos guarda-corpos</t>
  </si>
  <si>
    <t>4.5</t>
  </si>
  <si>
    <t>32.17.030</t>
  </si>
  <si>
    <t>Impermeabilização em argamassa polimérica para umidade e água de percolação (laje maciça)</t>
  </si>
  <si>
    <t>4.6</t>
  </si>
  <si>
    <t>32.17.010</t>
  </si>
  <si>
    <t>Impermeabilização em argamassa impermeável com aditivo hidrófugo (laje maciça)</t>
  </si>
  <si>
    <t>Combate à incendio e sinalização</t>
  </si>
  <si>
    <t>50.10.058</t>
  </si>
  <si>
    <t>Extintor manual de pó químico seco BC - capacidade de 4 kg</t>
  </si>
  <si>
    <t>50.05.312</t>
  </si>
  <si>
    <t>Bloco autônomo de iluminação de emergência LED, com autonomia mínima de 3 horas, fluxo luminoso de 2.000 até 3.000 lúmens, equipado com 2 faróis</t>
  </si>
  <si>
    <t>97.02.194</t>
  </si>
  <si>
    <t>Placa de sinalização em PVC fotoluminescente (150x150mm), com indicação de equipamentos de combate à incêndio e alarme</t>
  </si>
  <si>
    <t>97.02.195</t>
  </si>
  <si>
    <t>Placa de sinalização em PVC fotoluminescente (240x120mm), com indicação de rota de evacuação e saída de emergência</t>
  </si>
  <si>
    <t>Subtotal item 5</t>
  </si>
  <si>
    <t>Limpeza</t>
  </si>
  <si>
    <t>6.1</t>
  </si>
  <si>
    <t>55.01.020</t>
  </si>
  <si>
    <t>Limpeza final da obra</t>
  </si>
  <si>
    <t>51,89+5,37+7,44+4,36+5,28+2,04+17,06+6,08+5,4+6,68+7,82+4,42+15,25+3,9+18,920,94+0,36= 163,21 m² - para pintura das laterais das rampas das pistas</t>
  </si>
  <si>
    <t>EQUIPAMENTOS DE COMBATE À INCENDIO</t>
  </si>
  <si>
    <t>5.0</t>
  </si>
  <si>
    <t>6.0</t>
  </si>
  <si>
    <t>Combate à incêndio e sinalização</t>
  </si>
  <si>
    <r>
      <t>Remoção de entulho separado de obra com caçamba metálica - terra, alvenaria, concreto, argamassa, madeira, papel, plástico ou metal</t>
    </r>
    <r>
      <rPr>
        <sz val="11"/>
        <color rgb="FFFF0000"/>
        <rFont val="Arial"/>
        <family val="2"/>
      </rPr>
      <t xml:space="preserve"> </t>
    </r>
    <r>
      <rPr>
        <sz val="11"/>
        <rFont val="Arial"/>
        <family val="2"/>
      </rPr>
      <t>(apicoamento e limpeza da grama)</t>
    </r>
  </si>
  <si>
    <t>Remoção de pintura em massa com lixamento (paredes)</t>
  </si>
  <si>
    <t>5.1</t>
  </si>
  <si>
    <t>5.2</t>
  </si>
  <si>
    <t>5.3</t>
  </si>
  <si>
    <t>5.4</t>
  </si>
  <si>
    <t>1,2+4,16+1,56+1,95= 8,87 m² - para aberturas da cabine</t>
  </si>
  <si>
    <t>02.09.030</t>
  </si>
  <si>
    <t>06.01.020</t>
  </si>
  <si>
    <t>Regularização e compactação mecanizada de superfície, sem controle do proctor normal (ampliação da pavimentação dos boxes)</t>
  </si>
  <si>
    <t>03.02.040</t>
  </si>
  <si>
    <t>14.04.220</t>
  </si>
  <si>
    <t>17.02.020</t>
  </si>
  <si>
    <t>17.02.120</t>
  </si>
  <si>
    <t>54.04.360</t>
  </si>
  <si>
    <t>11.03.090</t>
  </si>
  <si>
    <t>Demolição manual de alvenaria de elevação ou elemento vazado, incluindo revestimento (mureta)</t>
  </si>
  <si>
    <t>Alvenaria de bloco cerâmico de vedação, uso revestido, de 19 cm (mureta)</t>
  </si>
  <si>
    <t>Chapisco(mureta)</t>
  </si>
  <si>
    <t>Emboço comum (mureta)</t>
  </si>
  <si>
    <t>Concreto preparado no local, fck = 20 MPa (entre asfalto e boxe)</t>
  </si>
  <si>
    <t>17.03.020</t>
  </si>
  <si>
    <t>11.18.020</t>
  </si>
  <si>
    <t>Armadura em barra de aço CA-50 (A ou B) fyk = 500 MPa</t>
  </si>
  <si>
    <t>10.01.040</t>
  </si>
  <si>
    <t>kg</t>
  </si>
  <si>
    <t>Tinta acrílica antimofo em massa, inclusive preparo  (mureta)</t>
  </si>
  <si>
    <t>Bloco diagonal em concreto tipo piso drenante para plantio de grama - 50 x 50 x 10 cm (piso na ligação entre área dos boxes e pavimento asfaltico)</t>
  </si>
  <si>
    <t>Lastro de areia (colchao de areia do bloco diagonal)</t>
  </si>
  <si>
    <t>Cimentado desempenado  (piso na ligação entre área dos boxes e pavimento asfaltico)</t>
  </si>
  <si>
    <t>Perfil em alumínio natural</t>
  </si>
  <si>
    <t>29.01.030</t>
  </si>
  <si>
    <t>29,4*0,38= 11,17 - para janelas da cabine</t>
  </si>
  <si>
    <t>1,28+1,18+0,3= 2,76 m - para torre de cronometragem</t>
  </si>
  <si>
    <t>(26,3*1,9)+(20,84*1,9)+(30,99*2,9)= 179,44m²</t>
  </si>
  <si>
    <t>1,82+7,87+(15,98*0,3)= 14,48 m² IMPERMEABILIZAÇÃO DA LAJE MACIÇA</t>
  </si>
  <si>
    <t>(1,82+7,87)*0,02 =0,19m³ IMPERMEABILIZAÇÃO DA LAJE MACIÇA</t>
  </si>
  <si>
    <t>11.01.100</t>
  </si>
  <si>
    <t>11.16.020</t>
  </si>
  <si>
    <t>10.01.060</t>
  </si>
  <si>
    <t xml:space="preserve">Lançamento, espalhamento e adensamento de concreto ou massa em lastro e/ou enchimento </t>
  </si>
  <si>
    <t>12.01.041</t>
  </si>
  <si>
    <t>09.01.030</t>
  </si>
  <si>
    <t>2.5</t>
  </si>
  <si>
    <t>2.6</t>
  </si>
  <si>
    <t>2.7</t>
  </si>
  <si>
    <t>2.8</t>
  </si>
  <si>
    <t>TOTAL ITEM B</t>
  </si>
  <si>
    <t>16.12.060</t>
  </si>
  <si>
    <t>2.9</t>
  </si>
  <si>
    <t>179,44+369,84= 549,28 m² - limpeza para pavimentação em lajota de concreto e paisagismo</t>
  </si>
  <si>
    <t>Locação de obra de edificação</t>
  </si>
  <si>
    <t>02.10.020</t>
  </si>
  <si>
    <t>3.6</t>
  </si>
  <si>
    <t>3.7</t>
  </si>
  <si>
    <t>3.8</t>
  </si>
  <si>
    <t>3.9</t>
  </si>
  <si>
    <t>3.10</t>
  </si>
  <si>
    <t>3.11</t>
  </si>
  <si>
    <t>3.12</t>
  </si>
  <si>
    <t>3.13</t>
  </si>
  <si>
    <t>11.01.130</t>
  </si>
  <si>
    <t>09.01.020</t>
  </si>
  <si>
    <t>15.03.140</t>
  </si>
  <si>
    <t>POSTE DE CONCRETO ARMADO DE SECAO DUPLO T, EXTENSAO DE 9,00 M, RESISTENCIA DE 300 A 400 DAN, TIPO B OU D</t>
  </si>
  <si>
    <t>SINAPI_2022</t>
  </si>
  <si>
    <t>ASSENTAMENTO DE POSTE DE CONCRETO COM COMPRIMENTO NOMINAL DE 9 M, CARGA NOMINAL MENOR OU IGUAL A 1000 DAN, ENGASTAMENTO SIMPLES COM 1,5 M DE SOLO (NÃO INCLUI FORNECIMENTO). AF_11/2019</t>
  </si>
  <si>
    <t>Limpeza manual do terreno, inclusive troncos até 5 cm de diâmetro, com caminhão à disposição dentro da obra, até o raio de 1 km (ampliação da pavimentação dos boxes e ampliação das zebras)</t>
  </si>
  <si>
    <t>Concreto usinado, fck = 20 MPa (ampliação das zebras)</t>
  </si>
  <si>
    <t>Forma curva em compensado para estrutura convencional com cimbramento tubular metálico</t>
  </si>
  <si>
    <t>09.02.150</t>
  </si>
  <si>
    <t>Escavação manual em solo de 1ª e 2ª categoria em campo aberto (ampliação da pavimentação dos boxes e ampliação das zebras novas)</t>
  </si>
  <si>
    <t>Regularização e compactação mecanizada de superfície, sem controle do proctor normal (ampliação da pavimentação dos boxes e ampliação das zebras novas)</t>
  </si>
  <si>
    <t>2.10</t>
  </si>
  <si>
    <t>2.11</t>
  </si>
  <si>
    <t>2.12</t>
  </si>
  <si>
    <t>2.13</t>
  </si>
  <si>
    <t>2.14</t>
  </si>
  <si>
    <t>Eletroduto de PVC rígido roscável de 2´ - com acessórios</t>
  </si>
  <si>
    <t>38.01.120</t>
  </si>
  <si>
    <t>POSTE DE CONCRETO ARMADO DE SECAO DUPLO T, EXTENSAO DE 8,00 M, RESISTENCIA DE 150 DAN, TIPO D</t>
  </si>
  <si>
    <t>1.19</t>
  </si>
  <si>
    <t>1.20</t>
  </si>
  <si>
    <t>1.21</t>
  </si>
  <si>
    <t>(40,5+38,2+60,4+44,4+34,9+23+46,6+30+23,6+32,2+48,4+57,4+30,1+40,8+28,1+50,1+33,4+48,7+21,4+18,7)*0,6+(26,24+65,73+30,67+55,57+42,38+27,97)*0,6+((35,08+47,42+81+53,27+76,42+43,16+20,84+26,2+40,5+62,43+50,26+40,2+43,4+10,8+38,4+54,3+25,5+39,3+40,71+11,43+16,68+30,55+37,6+16,8+20,99+8,9+37,7+28,54+50,22+85,14+51,95+7,3+30,3+47,3+26,02)*0,2*2))= 1134,32 m² - pintura das demarcações de limite da pista e para zebramento)</t>
  </si>
  <si>
    <t>50*0,6+(248,56*0,6)=179,14 m² - (ampliação da pavimentação dos boxes)</t>
  </si>
  <si>
    <t>((50*0,6)*0,12)+((26,24+65,73+30,67+55,57+42,38+27,97)*0,6*0,1)= 18,51 m³ - (ampliação da pavimentação dos boxes)</t>
  </si>
  <si>
    <t>(248,56*0,6*0,08)= 11,93 m³ - ampliação das zebras</t>
  </si>
  <si>
    <t>50*0,6+(248,56*0,6)=179,14 m² -  (ampliação da pavimentação dos boxes e ampliação das zebras novas)</t>
  </si>
  <si>
    <t>(26,24+65,73+30,67+55,57+42,38+27,97)*0,1= 24,86 m² - para ampliação das zebras</t>
  </si>
  <si>
    <t>4,9*0,4+2*0,4= 2,76 m² -  para mureta</t>
  </si>
  <si>
    <t>12*0,56= 6,72 kg - Para amarração da mureta</t>
  </si>
  <si>
    <t>4,9*0,4*0,18+(2*0,4*0,18= 0,50 m³ - para mureta</t>
  </si>
  <si>
    <t>2,76*2= 5,52 m² para mureta</t>
  </si>
  <si>
    <t>50*0,5= 25,00 m² - (piso na ligação entre área dos boxes e pavimento asfaltico)</t>
  </si>
  <si>
    <t>50*0,1= 5,00 m² - para piso na ligação entre área dos boxes e pavimento asfáltico</t>
  </si>
  <si>
    <t>50*0,1*0,2= 1,00 m³ - para colchao de areia do bloco diagonal</t>
  </si>
  <si>
    <t>(20+4,25)*0,7*2*2=67,90 m² para mureta</t>
  </si>
  <si>
    <t>50*0,1*0,1= 0,50 m³ - entre asfalto e boxe</t>
  </si>
  <si>
    <t>Cabo quadriplex 35 mm</t>
  </si>
  <si>
    <t>ORÇAMENTO</t>
  </si>
  <si>
    <t>0_01</t>
  </si>
  <si>
    <t>(90+39+39+33+33+33+47,07)+5,93= 320,00 m - para iluminação</t>
  </si>
  <si>
    <t>7 UNIDADES PARA ILUMINAÇÃO</t>
  </si>
  <si>
    <t>PARA ASSENTAMENTO DOS POSTES</t>
  </si>
  <si>
    <r>
      <rPr>
        <b/>
        <sz val="8"/>
        <rFont val="Arial"/>
        <family val="2"/>
      </rPr>
      <t>MÊS 7</t>
    </r>
    <r>
      <rPr>
        <sz val="11"/>
        <color theme="1"/>
        <rFont val="Calibri"/>
        <family val="2"/>
        <scheme val="minor"/>
      </rPr>
      <t/>
    </r>
  </si>
  <si>
    <r>
      <rPr>
        <b/>
        <sz val="8"/>
        <rFont val="Arial"/>
        <family val="2"/>
      </rPr>
      <t>MÊS 8</t>
    </r>
    <r>
      <rPr>
        <sz val="11"/>
        <color theme="1"/>
        <rFont val="Calibri"/>
        <family val="2"/>
        <scheme val="minor"/>
      </rPr>
      <t/>
    </r>
  </si>
  <si>
    <r>
      <rPr>
        <b/>
        <sz val="8"/>
        <rFont val="Arial"/>
        <family val="2"/>
      </rPr>
      <t>MÊS 9</t>
    </r>
    <r>
      <rPr>
        <sz val="11"/>
        <color theme="1"/>
        <rFont val="Calibri"/>
        <family val="2"/>
        <scheme val="minor"/>
      </rPr>
      <t/>
    </r>
  </si>
  <si>
    <r>
      <rPr>
        <b/>
        <sz val="8"/>
        <rFont val="Arial"/>
        <family val="2"/>
      </rPr>
      <t>MÊS 10</t>
    </r>
    <r>
      <rPr>
        <sz val="11"/>
        <color theme="1"/>
        <rFont val="Calibri"/>
        <family val="2"/>
        <scheme val="minor"/>
      </rPr>
      <t/>
    </r>
  </si>
  <si>
    <r>
      <rPr>
        <b/>
        <sz val="8"/>
        <rFont val="Arial"/>
        <family val="2"/>
      </rPr>
      <t>MÊS 11</t>
    </r>
    <r>
      <rPr>
        <sz val="11"/>
        <color theme="1"/>
        <rFont val="Calibri"/>
        <family val="2"/>
        <scheme val="minor"/>
      </rPr>
      <t/>
    </r>
  </si>
  <si>
    <r>
      <rPr>
        <b/>
        <sz val="8"/>
        <rFont val="Arial"/>
        <family val="2"/>
      </rPr>
      <t>MÊS 12</t>
    </r>
    <r>
      <rPr>
        <sz val="11"/>
        <color theme="1"/>
        <rFont val="Calibri"/>
        <family val="2"/>
        <scheme val="minor"/>
      </rPr>
      <t/>
    </r>
  </si>
  <si>
    <t>Estância Turística de Paraguaçu Paulista - SP</t>
  </si>
  <si>
    <t>3ª   ETAPA</t>
  </si>
  <si>
    <t>CAU A96375-5</t>
  </si>
  <si>
    <t>RRT's: 12093577 - 12093664</t>
  </si>
  <si>
    <t>Metais, portas e pingadeiras</t>
  </si>
  <si>
    <t>Combate à Incêndio e sinalização</t>
  </si>
  <si>
    <t>Suporte para 1 isolador de baixa tensão</t>
  </si>
  <si>
    <t>36.04.010</t>
  </si>
  <si>
    <t>1.22</t>
  </si>
  <si>
    <t>Caixa de entrada tipo ´E´ (560 x 350 x 210) mm - padrão Concessionárias</t>
  </si>
  <si>
    <t>36.03.150</t>
  </si>
  <si>
    <t>1.23</t>
  </si>
  <si>
    <t>Supressor de surto monofásico, Fase-Terra, In 4 a 11 kA, Imax. de surto de 12 até 15 kA</t>
  </si>
  <si>
    <t>37.24.031</t>
  </si>
  <si>
    <t>1.24</t>
  </si>
  <si>
    <t>Cabo de cobre nu, têmpera mole, classe 2, de 16 mm²</t>
  </si>
  <si>
    <t>39.04.050</t>
  </si>
  <si>
    <t>(2,78*3)*3= 25,02 m - PARA REDE ELÉTRICA DA TORRE</t>
  </si>
  <si>
    <t>(2,71+1,5+2+1,2+2,32+2,2+(2,65*5))*3= 75,54 m - PARA REDE ELÉTRICA DA TORRE</t>
  </si>
  <si>
    <t>(1,2+2,32+2,2+(2,65*5))*2= 37,94 m - PARA REDE ELÉTRICA DA TORRE</t>
  </si>
  <si>
    <t>Para aterramento</t>
  </si>
  <si>
    <t>Suporte para 1 isolador de baixa tensão (apoio para o quadro quadriplex dos postes)</t>
  </si>
  <si>
    <t>Apoio para o quadro quadriplex dos postes</t>
  </si>
  <si>
    <t>41.11.721</t>
  </si>
  <si>
    <t>Luminária LED retangular para poste de 6250 até 
6674 lm, eficiência mínima 113 lm/W (postes existentes)</t>
  </si>
  <si>
    <t>PARA POSTES EXISTENTES</t>
  </si>
  <si>
    <t>Cabo de cobre flexível de 16 mm², isolamento 0,6/1kV - isolação HEPR 90°C</t>
  </si>
  <si>
    <t>39.21.060</t>
  </si>
  <si>
    <t xml:space="preserve"> Para aterramento</t>
  </si>
  <si>
    <t>1.25</t>
  </si>
  <si>
    <t>Relé fotoelétrico 50/60 Hz, 110/220 V, 1200 VA, completo</t>
  </si>
  <si>
    <t>40.11.010</t>
  </si>
  <si>
    <t>PARA LUMINÁRIAS</t>
  </si>
  <si>
    <t>Contrapartida da Prefeitura</t>
  </si>
  <si>
    <t>ST-PRC2022-00137DM</t>
  </si>
  <si>
    <t>2.15</t>
  </si>
  <si>
    <t>2.16</t>
  </si>
  <si>
    <t>2.17</t>
  </si>
  <si>
    <t>(8,9+35,08+47,42+81+53,27+76,42+45,07+20,1+26,36+39,09+61+50,82+40,1+43,4+10,8+38,66+54,24+23,55+39,1+40,71+11,43+16,68+30,55+37,6+16,7+20,99+39,96+27,16+50,02+85,14+51,95+6,17+31,25+49,2+26,72)*8=10692,88 m² - recuperação da pista de kart</t>
  </si>
  <si>
    <t>((318,4+18,28)+(28,78+4,32+29,95+2,26+2,17+3,93+5,03+4,14+3,9+5,28+7,8+2,04+5,03+7,87)+85,86)+((4,47*5*2)+(3,07*5))+((2,88*8,54)+(4,54*1,5))+((2,1*18,46))+(2,56*(8,89+5,26+1))+(2,18*2,1)+(1,62*8,82)+(1,76*8,8) = 738,40 m² - para restauração da pista de skate</t>
  </si>
  <si>
    <t>738,40*0,01+(549,28*0,1))= 62,31m³ - para remoção do entulho (apicoamento e limpeza da grama)</t>
  </si>
  <si>
    <t>Abertura e preparo de caixa até 40 cm, compactação do subleito mínimo de 95% do PN e transporte até o raio de 1 km</t>
  </si>
  <si>
    <t>54.01.030</t>
  </si>
  <si>
    <t>D</t>
  </si>
  <si>
    <t>E</t>
  </si>
  <si>
    <t>Infraestrutura</t>
  </si>
  <si>
    <t>06.02.020</t>
  </si>
  <si>
    <t>Broca em concreto armado diâmetro de 25 cm - completa</t>
  </si>
  <si>
    <t>Concreto usinado, fck = 25 MPa (sapata)</t>
  </si>
  <si>
    <t>Lançamento, espalhamento e adensamento de concreto ou massa em lastro e/ou enchimento (sapata)</t>
  </si>
  <si>
    <t>Armadura em barra de aço CA-60 (A ou B) fyk = 600 Mpa  (sapata)</t>
  </si>
  <si>
    <t>Kg</t>
  </si>
  <si>
    <t>Concreto usinado, fck = 25 MPa (baldrame)</t>
  </si>
  <si>
    <t>Lançamento, espalhamento e adensamento de concreto ou massa em lastro e/ou enchimento (baldrame)</t>
  </si>
  <si>
    <t>Armadura em barra de aço CA-50 (A ou B) fyk = 500 Mpa ( viga baldrame)</t>
  </si>
  <si>
    <t>Armadura em barra de aço CA-60 (A ou B) fyk = 600 Mpa  (viga baldrame)</t>
  </si>
  <si>
    <t>Forma em madeira comum para fundação ( viga baldrame)</t>
  </si>
  <si>
    <t>Impermeabilização em argamassa polimérica para umidade e água de percolação (viga baldrame)</t>
  </si>
  <si>
    <t>Impermeabilização em argamassa impermeável com aditivo hidrófugo (viga baldrame)</t>
  </si>
  <si>
    <t>06.11.040</t>
  </si>
  <si>
    <t>Reaterro manual apiloado sem controle de compactação</t>
  </si>
  <si>
    <t>14.01.020</t>
  </si>
  <si>
    <t>Alvenaria de embasamento em tijolo maciço comum</t>
  </si>
  <si>
    <t>Superestrutura</t>
  </si>
  <si>
    <t>Concreto usinado, fck = 25 MPa (pilares)</t>
  </si>
  <si>
    <t>Lançamento, espalhamento e adensamento de concreto ou massa em lastro e/ou enchimento (pilares)</t>
  </si>
  <si>
    <t>Forma em madeira comum para estrutura (pilares)</t>
  </si>
  <si>
    <t>Armadura em barra de aço CA-50 (A ou B) fyk = 500 Mpa ( pilares)</t>
  </si>
  <si>
    <t>Armadura em barra de aço CA-60 (A ou B) fyk = 600 Mpa  (pilares)</t>
  </si>
  <si>
    <t>14.20.010</t>
  </si>
  <si>
    <t>Vergas, contravergas e pilaretes de concreto armado</t>
  </si>
  <si>
    <t>Concreto usinado, fck = 25 MPa (vigas)</t>
  </si>
  <si>
    <t>Lançamento, espalhamento e adensamento de concreto ou massa em lastro e/ou enchimento (vigas)</t>
  </si>
  <si>
    <t>Forma em madeira comum para estrutura (vigas)</t>
  </si>
  <si>
    <t>Armadura em barra de aço CA-50 (A ou B) fyk = 500 Mpa ( vigas)</t>
  </si>
  <si>
    <t>Armadura em barra de aço CA-60 (A ou B) fyk = 600 Mpa  (vigas)</t>
  </si>
  <si>
    <t>11.04.060</t>
  </si>
  <si>
    <t>Concreto não estrutural executado no local, mínimo 300 kg cimento / m³ (contrapiso)</t>
  </si>
  <si>
    <t>13.01.130</t>
  </si>
  <si>
    <t>Laje pré-fabricada mista vigota treliçada/lajota cerâmica - LT 12 (8+4) e capa com concreto de 25 MPa</t>
  </si>
  <si>
    <t>Alvenaria e Divisórias</t>
  </si>
  <si>
    <t>14.04.210</t>
  </si>
  <si>
    <t>Alvenaria de bloco cerâmico de vedação, uso revestido, de 14 cm</t>
  </si>
  <si>
    <t>14.30.010</t>
  </si>
  <si>
    <t>Divisória em placas de granito com espessura de 3 cm</t>
  </si>
  <si>
    <t>Cobertura</t>
  </si>
  <si>
    <t>Telhamento em chapa de aço pré-pintada com epóxi e poliéster, perfil trapezoidal, com espessura de 0,50 mm e altura de 40 mm</t>
  </si>
  <si>
    <t>16.33.082</t>
  </si>
  <si>
    <t>Calha, rufo, afins em chapa galvanizada nº 26 - corte 0,33 m (rufo)</t>
  </si>
  <si>
    <t>5.5</t>
  </si>
  <si>
    <t>16.33.102</t>
  </si>
  <si>
    <t>46.02.070</t>
  </si>
  <si>
    <t>Revestimento</t>
  </si>
  <si>
    <t>6.2</t>
  </si>
  <si>
    <t>6.3</t>
  </si>
  <si>
    <t>18.11.042</t>
  </si>
  <si>
    <t>Revestimento em placa cerâmica esmaltada de 20x20 cm, tipo monocolor, assentado e rejuntado com argamassa industrializada</t>
  </si>
  <si>
    <t>6.4</t>
  </si>
  <si>
    <t>18.06.102</t>
  </si>
  <si>
    <t>Placa cerâmica esmaltada PEI-5 para área interna, grupo de absorção BIIb, resistência química B, assentado com argamassa colante industrializada (piso)</t>
  </si>
  <si>
    <t>Peitoril e/ou soleira em granito, espessura de 2 cm e largura até 20 cm</t>
  </si>
  <si>
    <t>44.02.062</t>
  </si>
  <si>
    <t>Tampo/bancada em granito, com frontão, espessura de 2 cm, acabamento polido</t>
  </si>
  <si>
    <t>Esquadrias</t>
  </si>
  <si>
    <t>7.1</t>
  </si>
  <si>
    <t>7.2</t>
  </si>
  <si>
    <t>23.04.570</t>
  </si>
  <si>
    <t>Porta em laminado melamínico estrutural com acabamento texturizado, batente em alumínio com ferragens - 60 x 180 cm</t>
  </si>
  <si>
    <t>7.3</t>
  </si>
  <si>
    <t>7.4</t>
  </si>
  <si>
    <t>26.01.080</t>
  </si>
  <si>
    <t>Vidro liso transparente de 6 mm</t>
  </si>
  <si>
    <t>8.1</t>
  </si>
  <si>
    <t>Tinta acrílica antimofo em massa, inclusive preparo(interna paredes + laje+externa+ caixa d'agua))</t>
  </si>
  <si>
    <t>Sinalização</t>
  </si>
  <si>
    <t>9.1</t>
  </si>
  <si>
    <t>30.06.080</t>
  </si>
  <si>
    <t>Placa de identificação em alumínio para WC, com desenho universal de acessibilidade</t>
  </si>
  <si>
    <t>9.2</t>
  </si>
  <si>
    <t>50.05.260</t>
  </si>
  <si>
    <t>Bloco autônomo de iluminação de emergência com autonomia mínima de 1 hora, equipado com 2 lâmpadas de 11 W</t>
  </si>
  <si>
    <t>9.3</t>
  </si>
  <si>
    <t>30.06.061</t>
  </si>
  <si>
    <t>Sistema de alarme PNE com indicador audiovisual, para pessoas commobilidade reduzida ou cadeirante</t>
  </si>
  <si>
    <t>uni</t>
  </si>
  <si>
    <t>9.4</t>
  </si>
  <si>
    <t>30.04.060</t>
  </si>
  <si>
    <t>Revestimento em chapa de aço inoxidável para proteção de portas, altura de 40 cm</t>
  </si>
  <si>
    <t>9.6</t>
  </si>
  <si>
    <t>30.04.030</t>
  </si>
  <si>
    <t>Piso em ladrilho hidráulico podotátil várias cores (25x25x2,5cm), assentado com argamassa mista</t>
  </si>
  <si>
    <t>42.05.210</t>
  </si>
  <si>
    <t>Haste de aterramento de 5/8'' x 3 m</t>
  </si>
  <si>
    <t>42.05.160</t>
  </si>
  <si>
    <t>Conector olhal cabo/haste de 5/8´</t>
  </si>
  <si>
    <t>42.05.320</t>
  </si>
  <si>
    <t>Caixa de inspeção do terra cilíndrica em PVC rígido, diâmetro de 300 mm - h= 400 mm</t>
  </si>
  <si>
    <t>10.10</t>
  </si>
  <si>
    <t>10.11</t>
  </si>
  <si>
    <t>10.12</t>
  </si>
  <si>
    <t>10.13</t>
  </si>
  <si>
    <t>38.19.030</t>
  </si>
  <si>
    <t>Eletroduto de PVC corrugado flexível leve, diâmetro externo de 25 mm</t>
  </si>
  <si>
    <t>10.14</t>
  </si>
  <si>
    <t>10.15</t>
  </si>
  <si>
    <t>10.16</t>
  </si>
  <si>
    <t>40.07.010</t>
  </si>
  <si>
    <t>Caixa em PVC de 4´ x 2´</t>
  </si>
  <si>
    <t>10.18</t>
  </si>
  <si>
    <t>40.07.040</t>
  </si>
  <si>
    <t>Caixa em PVC octogonal de 4´ x 4´</t>
  </si>
  <si>
    <t>10.19</t>
  </si>
  <si>
    <t>10.20</t>
  </si>
  <si>
    <t>10.22</t>
  </si>
  <si>
    <t>41.13.200</t>
  </si>
  <si>
    <t>41.02.580</t>
  </si>
  <si>
    <t>Lâmpada LED 13,5W, com base E-27, 1400 até 1510lm</t>
  </si>
  <si>
    <t>41.14.670</t>
  </si>
  <si>
    <t>Luminária triangular de sobrepor tipo arandela para fluorescente compacta de 15/20/23W</t>
  </si>
  <si>
    <t>Instalações Hidráulicas</t>
  </si>
  <si>
    <t>Tubo de PVC rígido branco PxB com virola e anel de borracha, linha esgoto série normal, DN= 100 mm, inclusive conexões</t>
  </si>
  <si>
    <t>46.01.020</t>
  </si>
  <si>
    <t>Tubo de PVC rígido soldável marrom, DN= 25 mm, (3/4´), inclusive conexões</t>
  </si>
  <si>
    <t>48.05.010</t>
  </si>
  <si>
    <t>Torneira de boia, DN= 3/4´</t>
  </si>
  <si>
    <t>47.02.020</t>
  </si>
  <si>
    <t>Registro de gaveta em latão fundido cromado com canopla, DN= 3/4´ - linha especial</t>
  </si>
  <si>
    <t>49.01.020</t>
  </si>
  <si>
    <t>Caixa sifonada de PVC rígido de 100 x 150 x 50 mm, com grelha</t>
  </si>
  <si>
    <t>49.03.020</t>
  </si>
  <si>
    <t>Caixa de gordura em alvenaria, 600 x 600 x 600 mm</t>
  </si>
  <si>
    <t>46.02.010</t>
  </si>
  <si>
    <t>Tubo de PVC rígido branco, pontas lisas, soldável, linha esgoto série normal, DN= 40 mm, inclusive conexões</t>
  </si>
  <si>
    <t>46.01.040</t>
  </si>
  <si>
    <t>Tubo de PVC rígido soldável marrom, DN= 40 mm, (1 1/4´), inclusive conexões</t>
  </si>
  <si>
    <t>46.02.050</t>
  </si>
  <si>
    <t>Tubo de PVC rígido branco PxB com virola e anel de borracha, linha esgoto série normal, DN= 50 mm, inclusive conexões</t>
  </si>
  <si>
    <t>47.02.040</t>
  </si>
  <si>
    <t>Registro de gaveta em latão fundido cromado com canopla, DN= 1 1/4´ - linha especial</t>
  </si>
  <si>
    <t>47.04.030</t>
  </si>
  <si>
    <t>Válvula de descarga com registro próprio, DN= 1 1/4´</t>
  </si>
  <si>
    <t>Louças e Metais</t>
  </si>
  <si>
    <t>12.1</t>
  </si>
  <si>
    <t>30.08.060</t>
  </si>
  <si>
    <t xml:space="preserve">Bacia sifonada de louça para pessoas com mobilidade reduzida - capacidade de 6 litros </t>
  </si>
  <si>
    <t>12.2</t>
  </si>
  <si>
    <t>44.03.050</t>
  </si>
  <si>
    <t>Dispenser papel higiênico em ABS para rolão 300 / 600 m, com visor</t>
  </si>
  <si>
    <t>12.3</t>
  </si>
  <si>
    <t>44.20.280</t>
  </si>
  <si>
    <t>Tampa de plástico para bacia sanitária</t>
  </si>
  <si>
    <t>12.4</t>
  </si>
  <si>
    <t>30.08.040</t>
  </si>
  <si>
    <t>Lavatório de louça para canto sem coluna para pessoas com mobilidade reduzida</t>
  </si>
  <si>
    <t>12.5</t>
  </si>
  <si>
    <t>44.03.720</t>
  </si>
  <si>
    <t>Torneira de mesa para lavatório, acionamento hidromecânico com alavanca, registro integrado regulador de vazão, em latão cromado, DN= 1/2´ (PNE)</t>
  </si>
  <si>
    <t>12.6</t>
  </si>
  <si>
    <t>44.20.010</t>
  </si>
  <si>
    <t>Sifão plástico sanfonado universal de 1´</t>
  </si>
  <si>
    <t>12.7</t>
  </si>
  <si>
    <t>26.04.010</t>
  </si>
  <si>
    <t>Espelho em vidro cristal liso, espessura de 4 mm</t>
  </si>
  <si>
    <t>12.8</t>
  </si>
  <si>
    <t>44.03.010</t>
  </si>
  <si>
    <t xml:space="preserve">Dispenser toalheiro em ABS e policarbonato para bobina de 20 cm x 200 m, com alavanca </t>
  </si>
  <si>
    <t>12.9</t>
  </si>
  <si>
    <t>44.03.130</t>
  </si>
  <si>
    <t xml:space="preserve">Saboneteira tipo dispenser, para refil de 800 ml </t>
  </si>
  <si>
    <t>12.10</t>
  </si>
  <si>
    <t>30.01.120</t>
  </si>
  <si>
    <t>Barra de apoio reta, para pessoas com mobilidade reduzida, em tubo de aço inoxidável de 1 1/4´ x 400 mm</t>
  </si>
  <si>
    <t>12.11</t>
  </si>
  <si>
    <t>30.01.030</t>
  </si>
  <si>
    <t>Barra de apoio reta, para pessoas com mobilidade reduzida, em tubo de aço inoxidável de 1 1/2´ x 800 mm</t>
  </si>
  <si>
    <t>12.12</t>
  </si>
  <si>
    <t>44.01.050</t>
  </si>
  <si>
    <t>Bacia sifonada de louça sem tampa - 6 litros</t>
  </si>
  <si>
    <t>12.13</t>
  </si>
  <si>
    <t>12.14</t>
  </si>
  <si>
    <t>44.01.270</t>
  </si>
  <si>
    <t>Cuba de louça de embutir oval</t>
  </si>
  <si>
    <t>12.15</t>
  </si>
  <si>
    <t>44.03.645</t>
  </si>
  <si>
    <t>Torneira para bancada automática, acionamento hidromecânico, em latão cromado, DN= 1/2´ou 3/4´ (sanitários comuns)</t>
  </si>
  <si>
    <t>SANITÁRIO</t>
  </si>
  <si>
    <t>07.02.020</t>
  </si>
  <si>
    <t>Limpeza mecanizada do terreno, inclusive troncos até 15 cm de diâmetro, com caminhão à disposição dentro e fora da obra, com transporte no raio de até 1 km (limpezz do terreno para edificação)</t>
  </si>
  <si>
    <t>Escavação manual em solo de 1ª e 2ª categoria em vala ou cava até 1,5 m (sapatas)</t>
  </si>
  <si>
    <t>Escavação mecanizada de valas ou cavas com profundidade de até 2 m (baldrame)</t>
  </si>
  <si>
    <t>Armadura em barra de aço CA-50 (A ou B) fyk = 500 Mpa ( sapata + arranque dos pilares)</t>
  </si>
  <si>
    <t>Armadura em barra de aço CA-60 (A ou B) fyk = 600 Mpa  (laje)</t>
  </si>
  <si>
    <t>Calha, rufo, afins em chapa galvanizada nº 26 - corte 0,50 m (calha)</t>
  </si>
  <si>
    <t>Tubo de PVC rígido branco PxB com virola e anel de borracha, linha esgoto série normal, DN= 100 mm, inclusive conexões (condutor vertical)</t>
  </si>
  <si>
    <t>Caixilho em ferro basculante, sob medida</t>
  </si>
  <si>
    <t>24.01.030</t>
  </si>
  <si>
    <t>Emboço comum (interno, externo, platibanda, caixa d'agua+laje)</t>
  </si>
  <si>
    <t>Chapisco (interno, externo, platibanda, caixa d'agua+laje)</t>
  </si>
  <si>
    <t>Esmalte a base de água em estrutura metálica (esquadrias)</t>
  </si>
  <si>
    <t>Luminária blindada tipo arandela de 45º e 90º, para lâmpada LED</t>
  </si>
  <si>
    <t>41.13.102</t>
  </si>
  <si>
    <t xml:space="preserve">Luminária blindada oval de sobrepor ou arandela, para lâmpada fluorescentes compacta </t>
  </si>
  <si>
    <t>Lâmpada fluorescente compacta eletrônica "3U", base E27 de 15 W - 110 ou 220 V</t>
  </si>
  <si>
    <t>41.07.420</t>
  </si>
  <si>
    <t>Cabo de cobre flexível de 6 mm², isolamento 0,6/1kV - isolação HEPR 90°C</t>
  </si>
  <si>
    <t>39.21.040</t>
  </si>
  <si>
    <t>Filtro biológico anaeróbio com anéis pré-moldados de concreto diâmetro de 1,40 m - h= 2,00 m</t>
  </si>
  <si>
    <t>49.13.010</t>
  </si>
  <si>
    <t>Fossa séptica câmara única com anéis pré-moldados em concreto, diâmetro externo de 1,50 m, altura útil de 1,50 m</t>
  </si>
  <si>
    <t>49.14.010</t>
  </si>
  <si>
    <t>Eletrocalha lisa galvanizada a fogo, 50 x 50 mm, com acessórios</t>
  </si>
  <si>
    <t>38.21.110</t>
  </si>
  <si>
    <t>Lastro de pedra britada</t>
  </si>
  <si>
    <t>11.18.040</t>
  </si>
  <si>
    <t>Reservatório em polietileno com tampa de rosca - capacidade de 1.000 litros</t>
  </si>
  <si>
    <t>48.02.400</t>
  </si>
  <si>
    <t>2.18</t>
  </si>
  <si>
    <t>Pavimentação</t>
  </si>
  <si>
    <t>TOTAL ITEM C</t>
  </si>
  <si>
    <t>TOTAL ITEM D</t>
  </si>
  <si>
    <t>13.1</t>
  </si>
  <si>
    <t xml:space="preserve">Subtotal Item E </t>
  </si>
  <si>
    <t>(0,7*0,7*0,65*10)+(0,8*0,8*0,65*2)= 4,02 m³ - para as sapatas</t>
  </si>
  <si>
    <t>((4*4)+(3,2*2)+(3,28)+10,33+2,2)*0,3*0,35= 4,01 m³ - para baldrames</t>
  </si>
  <si>
    <t>14*3= 42,00 m - para brocas</t>
  </si>
  <si>
    <t>8*13= 104 m² - para limpeza do terreno</t>
  </si>
  <si>
    <t>52,11 m² - para locação da obra</t>
  </si>
  <si>
    <t>Lastro de pedra britada (fundo sapata e baldrame)</t>
  </si>
  <si>
    <t>((0,7*0,7*10)+(0,8*0,8*2))*0,03+(38,21*0,3*0,03)= 0,53 m³ - para fundo da sapata e baldrame</t>
  </si>
  <si>
    <t>(0,7*0,7*0,35*10)+(0,8*0,8*0,35*2)= 2,16 m³ - para sapatas</t>
  </si>
  <si>
    <t>(7,68*2*10)*0,25= 38,40 kg - para sapatas</t>
  </si>
  <si>
    <t>(9,54*2*2)*0,4+(0,4+4*1,5*12)*0,56= 55,81 kg - para sapatas e arranque dos pilares</t>
  </si>
  <si>
    <t>((4*4)+(3,2*2)+(3,28)+10,33+2,2)*0,2*0,3= 2,29 m³ - para baldrames</t>
  </si>
  <si>
    <t>((4*4)+(3,2*2)+(3,28)+10,33+2,2)*4*0,56+(38,21*0,4)= 100,87 kg - para baldrames</t>
  </si>
  <si>
    <t>(38,21/0,15)*0,95*0,2= 48,40 kg - para baldrames</t>
  </si>
  <si>
    <t>38,21*0,6= 22,93 m² - para baldrame</t>
  </si>
  <si>
    <t>38,21*1,1= 42,03 m² - para impermeabilização baldrame</t>
  </si>
  <si>
    <t>42,03*0,02= 0,84 m³ - para impermeabilização  baldrame</t>
  </si>
  <si>
    <t>(12,82+12,82+12,12+3,38+3,38)*0,15+(0,7*0,7*10*0,3)+(0,8*0,8*2*0,3)= 8,53 m³ - para reaterro</t>
  </si>
  <si>
    <t>38,21*0,15*0,2= 1,15 m³ - para alvenaria de embasamento</t>
  </si>
  <si>
    <t>(0,15*0,25*3*6)+(0,15*0,25*4*6)+(0,15*0,25*2,5*6)= 2,14 m³ - para pilares</t>
  </si>
  <si>
    <t>(3*3*12)*0,3= 32,40 m² - para pilares</t>
  </si>
  <si>
    <t xml:space="preserve">(4*4*3)*0,56+(6*4*6)*0,56+(6*3*2)*0,56+(4*2,5*6)= 187,68 kg - para pilares kg </t>
  </si>
  <si>
    <t>((12*3/0,12)*0,75*0,2)+18,5= 63,50 kg - para pilares</t>
  </si>
  <si>
    <t>(4+4+3,5+13,5+1,8+1,8)*0,15*0,2+(4+4+3,5)*0,2*0,15= 1,20 m³ - para vergas e contravergas</t>
  </si>
  <si>
    <t>((10,33+(2*4)+3,28+(3,2*2))*0,15*0,25)+(((6,26*2)+3,28)*0,15*0,35)= 1,88 m³ - para vigas</t>
  </si>
  <si>
    <t>((10,33+(2*4)+3,28+(3,2*2))*0,5)+((6,26*2)+3,28)*0,7= 25,07 m² - para vigas</t>
  </si>
  <si>
    <t>(28,01*4*0,56)+(3*12,52*1)+(2*12,52*0,56)+(3,62*5*0,56)= 124,46 kg - para vigas</t>
  </si>
  <si>
    <t>(28,01/0,12)*0,75*0,2+(16,14/0,15)*0,85*0,2= 53,30 kg - para vigas</t>
  </si>
  <si>
    <t>(32,82*0,05)= 1,64 m³ - para contrapiso</t>
  </si>
  <si>
    <t>39,07 m² de laje para o sanitário</t>
  </si>
  <si>
    <t>(6,25/0,25)*6,25*0,2= 31,25 kg - para laje</t>
  </si>
  <si>
    <t>32,96*0,15= 4,94 m² - para laje</t>
  </si>
  <si>
    <t>(32,25+2,2+2,2+2,2+2,4)*2,8= 115,50 m² - para alvenaria</t>
  </si>
  <si>
    <t>(0,45*4+0,35*2)*2+1,35*2*4= 15,80 m² - para divisórias</t>
  </si>
  <si>
    <t xml:space="preserve">47,11 m² de telhamento </t>
  </si>
  <si>
    <t>41,45+3,28= 44,73 m - para rufos</t>
  </si>
  <si>
    <t>10+3,28= 13,28 m - para calhas</t>
  </si>
  <si>
    <t>3*2= 6,00 m - para condutor vertical</t>
  </si>
  <si>
    <t>((16,81*2)+(7,48*2))+((33,02*3,2)+((33,5*1))+(12,3*2,5))+((16,81*2)+(7,48*2))+(7,51*1,05)= 274,96 m² - para emboço interno, externo, platibanda, caixa d'agua e laje</t>
  </si>
  <si>
    <t xml:space="preserve">((16,81*2)+(7,48*2))*2*1,05= 102,02 m² - para revestimento </t>
  </si>
  <si>
    <t>16,81*2+7,48*2= 48,58 m² - para revestimento piso</t>
  </si>
  <si>
    <t>1,01*2= 2,02 m² - para bancada</t>
  </si>
  <si>
    <t xml:space="preserve">0,9*2,1= 1,89 m² - para portas </t>
  </si>
  <si>
    <t xml:space="preserve">4 portas para sanitários </t>
  </si>
  <si>
    <t>(2,5*0,6*2)+(1,2*0,6*2)= 4,44 m² - para esquadrias</t>
  </si>
  <si>
    <t>(274,96-102,02 = 172,94 m² - para pintura interna, laje, externa e caixa d'agua)</t>
  </si>
  <si>
    <t>(1,89*4,44)*2,5= 15,83 m² - pintura das esquadrias metálicas</t>
  </si>
  <si>
    <t>PARA SANITÁRIOS</t>
  </si>
  <si>
    <t>PARA SANITÁRIO ACESSÍVEL</t>
  </si>
  <si>
    <t>Andaime torre metálico (1,5 x 1,5 m) com piso metálico</t>
  </si>
  <si>
    <t>Montagem e desmontagem de andaime torre metálica com altura até 10 m</t>
  </si>
  <si>
    <t>mxmes</t>
  </si>
  <si>
    <t>02.05.060</t>
  </si>
  <si>
    <t>02.05.202</t>
  </si>
  <si>
    <t>10*1= 10 mxmes - para servios em altura</t>
  </si>
  <si>
    <t>para montagem de 10 m de andaimes</t>
  </si>
  <si>
    <t>4.7</t>
  </si>
  <si>
    <t>4.8</t>
  </si>
  <si>
    <t>para montagem da torre de andaimes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</si>
  <si>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</si>
  <si>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</si>
  <si>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</si>
  <si>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</si>
  <si>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</si>
  <si>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</si>
  <si>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</si>
  <si>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</si>
  <si>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</si>
  <si>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10.17</t>
  </si>
  <si>
    <t>10.21</t>
  </si>
  <si>
    <t>PARA ATERRAMENTO</t>
  </si>
  <si>
    <t>PARA REDE ELÉTRICA</t>
  </si>
  <si>
    <t>(1,83+1,6+0,9+2,4+2,4+1,75+2,4+0,95+1,75+1,1+0,95+1,75+1,75+1,63+(8*2,5)+0,85)+2,3*2= 48,61 M - PARA REDE ELÉTRICA</t>
  </si>
  <si>
    <t>48,61*3= 145,83 m - para rede elétrica</t>
  </si>
  <si>
    <t>48,61*2= 97,22 m - para rede elétrica</t>
  </si>
  <si>
    <t>(5,8+0,91+4,75+1,8+3,5)*3= 50,28 m - para rede elétrica</t>
  </si>
  <si>
    <t>PARA ILUMINAÇÃO</t>
  </si>
  <si>
    <t>Escavação e carga mecanizada em solo de 1ª categoria, em campo aberto</t>
  </si>
  <si>
    <t>07.01.020</t>
  </si>
  <si>
    <t>Fornecimento e montagem de estrutura tubular em aço ASTM-A572 Grau 50, sem pintura (2'' para pilaretes)</t>
  </si>
  <si>
    <t>Guia pré-moldada reta tipo PMSP 100 - fck 25 MPa</t>
  </si>
  <si>
    <t>54.06.040</t>
  </si>
  <si>
    <t>14.02.030</t>
  </si>
  <si>
    <t>Locação de vias, calçadas, tanques e lagoas</t>
  </si>
  <si>
    <t>02.10.060</t>
  </si>
  <si>
    <t>Alvenaria de elevação de 1/2 tijolo maciço comum (guia de balisamento)</t>
  </si>
  <si>
    <t>Fornecimento e montagem de estrutura tubular em aço ASTM-A572 Grau 50, sem pintura (1 1/2' guarda corpo - de cima)</t>
  </si>
  <si>
    <t>Fornecimento e montagem de estrutura tubular em aço ASTM-A572 Grau 50, sem pintura (1'' guarda corpo)</t>
  </si>
  <si>
    <t>Fornecimento e montagem de estrutura tubular em aço ASTM-A572 Grau 50, sem pintura (1 1/2'' corrimão)</t>
  </si>
  <si>
    <t>Esmalte a base de água em estrutura metálica (pintura corrimão)</t>
  </si>
  <si>
    <t>34.02.020</t>
  </si>
  <si>
    <t>POÇO ARTESIANO</t>
  </si>
  <si>
    <t>Tubo de PVC rígido soldável marrom, DN= 60 mm, (2´), inclusive conexões</t>
  </si>
  <si>
    <t>46.01.060</t>
  </si>
  <si>
    <t xml:space="preserve">Pavimentação </t>
  </si>
  <si>
    <t>Locação de container tipo depósito - área mínima de 13,80 m²</t>
  </si>
  <si>
    <t>02.02.150</t>
  </si>
  <si>
    <t>undmes</t>
  </si>
  <si>
    <t>para depósito de material durante 5 meses</t>
  </si>
  <si>
    <t>3.14</t>
  </si>
  <si>
    <t>3.15</t>
  </si>
  <si>
    <t>Forma em madeira comum para estrutura (laje)</t>
  </si>
  <si>
    <t>6.5</t>
  </si>
  <si>
    <t>6.6</t>
  </si>
  <si>
    <t>8.2</t>
  </si>
  <si>
    <t>(4*0,9)= 3,60 m - para soleiras</t>
  </si>
  <si>
    <t>PARA REDE HIDRÁULICA</t>
  </si>
  <si>
    <t>(1,25+1,55+2,6+2,68+2,8)*2= 21,76 m - para rede hidráulica</t>
  </si>
  <si>
    <t>1,25*2= 2,50 m - para rede hidráulica</t>
  </si>
  <si>
    <t>(4,3+0,5+1,05+1,8+0,8+1,25+1,2)*2= 21,80 m - para rede hidráulica</t>
  </si>
  <si>
    <t>PARA SANITÁRIO COMUM</t>
  </si>
  <si>
    <t xml:space="preserve">PARA SANITÁRIO ACESSÍVEL </t>
  </si>
  <si>
    <t>PARA SANITÁRIOS COMUM</t>
  </si>
  <si>
    <t>AREÁ TOTAL PARA LIMPEZA DA OBRA</t>
  </si>
  <si>
    <t>VIA PAVIMENTADA DE ACESSO</t>
  </si>
  <si>
    <t>Plantio de grama batatais em placas (praças e áreas abertas) (em volta do talude e arredores)</t>
  </si>
  <si>
    <t>Meio tubo de concreto, DN= 600mm</t>
  </si>
  <si>
    <t>46.12.240</t>
  </si>
  <si>
    <t>09.02.060</t>
  </si>
  <si>
    <t>Concreto usinado, fck = 20 Mpa (guias)</t>
  </si>
  <si>
    <t>Escavação manual em solo de 1ª e 2ª categoria em campo aberto  (guias)</t>
  </si>
  <si>
    <t>Forma curva em compensado para estrutura aparente (guias curvas)</t>
  </si>
  <si>
    <t>Forma de madeira comum para funcação (guias retas)</t>
  </si>
  <si>
    <t>Reaterro manual apiloado sem controle de compactação  (guias retas)</t>
  </si>
  <si>
    <t>F</t>
  </si>
  <si>
    <t>Execução de poço artesiano profundo</t>
  </si>
  <si>
    <t>1412,12*0,1= 141,21 m² - para via pavimentada</t>
  </si>
  <si>
    <t xml:space="preserve">11+12+6+4= 33,00 m - para guias </t>
  </si>
  <si>
    <t>1412,12 m² - para pavimentação via de acesso</t>
  </si>
  <si>
    <t>Para drenagem da via</t>
  </si>
  <si>
    <t>95,10 m² para locação da rampa</t>
  </si>
  <si>
    <t>(4+4+4+4+4+4,6+4,6+11,71+18,07)*0,2*0,3= 3,54 m³ - para guias</t>
  </si>
  <si>
    <t>(4+4+4+4+4+4,6+4,6+11,71+18,07)*0,03*0,2= 0,35 m³ - para guias retas</t>
  </si>
  <si>
    <t>(11,71+18,07)*0,4= 11,91 m² - para guias curvas</t>
  </si>
  <si>
    <t>(4+4+4+4+4+4,6+4,6)*0,4= 11,68 m² - para guias retas</t>
  </si>
  <si>
    <t>(12,49+4+18,07+4)*0,05= 1,93 m² - para guia de balisamento</t>
  </si>
  <si>
    <t>95,10 m² - pavimentação da rampa</t>
  </si>
  <si>
    <t>1,85 m² - para sinalização tatil</t>
  </si>
  <si>
    <t>161,00 m² -para plantio de grama</t>
  </si>
  <si>
    <t>EXECUÇÃO DO POÇO ARTESIANO</t>
  </si>
  <si>
    <t>0_02</t>
  </si>
  <si>
    <t>Rampa</t>
  </si>
  <si>
    <t>RAMPA</t>
  </si>
  <si>
    <t>7.0</t>
  </si>
  <si>
    <t>8.0</t>
  </si>
  <si>
    <t>9.0</t>
  </si>
  <si>
    <t>10.0</t>
  </si>
  <si>
    <t>11.0</t>
  </si>
  <si>
    <t>12.0</t>
  </si>
  <si>
    <t>13.0</t>
  </si>
  <si>
    <t>Subtotal Item F</t>
  </si>
  <si>
    <t>Poço Artesiano</t>
  </si>
  <si>
    <t>Rede de Energia Elétrica</t>
  </si>
  <si>
    <t>Lastro de areia (para fundo da tubulação)</t>
  </si>
  <si>
    <t>Escavação manual em solo de 1ª e 2ª categoria em vala ou cava até 1,5 m (para meio tubo)</t>
  </si>
  <si>
    <t>Reaterro manual apiloado sem controle de compactação(para meio tubo)</t>
  </si>
  <si>
    <t>Regularização e compactação mecanizada de superfície, sem controle do proctor normal (para meio tubo)</t>
  </si>
  <si>
    <t>12*0,7*0,4= 3,36 m³ - para escavação meio tubo</t>
  </si>
  <si>
    <t>3,36*0,5= 1,68 m³ - para meio tubo</t>
  </si>
  <si>
    <t>12*0,7= 88,40 m² - para meio tubo</t>
  </si>
  <si>
    <t>12*0,7*0,05=0,42 m³ - (para berço do meio tubo)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</si>
  <si>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</si>
  <si>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</si>
  <si>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</si>
  <si>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</si>
  <si>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</si>
  <si>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</si>
  <si>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</si>
  <si>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</si>
  <si>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</si>
  <si>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</si>
  <si>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</si>
  <si>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</si>
  <si>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</si>
  <si>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</si>
  <si>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1412,12 m² - para locação da pavimentação</t>
  </si>
  <si>
    <t>1412,12 m² - para preparo da via pavimentada</t>
  </si>
  <si>
    <t>Base: CDHU/187 - Agosto/2022 - Desonerada</t>
  </si>
  <si>
    <t>Execução de perfil extrusado no local, sem concreto</t>
  </si>
  <si>
    <t>54.06.151</t>
  </si>
  <si>
    <t>CDHU/187</t>
  </si>
  <si>
    <t>Fornecimento e montagem de estrutura em aço ASTM‐A572 Grau 50, sem pintura</t>
  </si>
  <si>
    <t>15.03.131</t>
  </si>
  <si>
    <t xml:space="preserve">EXECUÇÃO DO POÇO ARTESIANO (Detalhes memorial descritivo) </t>
  </si>
  <si>
    <t>Limpeza mecanizada do terreno, inclusive troncos até 15 cm de diâmetro, com caminhão à disposição dentro e fora da obra, com transporte no raio de até 1 km (limpeza do terreno para edificação)</t>
  </si>
  <si>
    <t>1,5+3,2+4,5+(4*3,2)+1,25+1,25+2,5+2,5= 29,50 m - para rede hidráulica</t>
  </si>
  <si>
    <t>5,6+1,2+1,5+1,6+(8*2,8)= 32,30 m - para rede hidráulica</t>
  </si>
  <si>
    <t xml:space="preserve">Escavação manual em solo de 1ª e 2ª categoria em vala ou cava até 1,5 m </t>
  </si>
  <si>
    <t>Data: Novembro/2022</t>
  </si>
  <si>
    <r>
      <rPr>
        <b/>
        <sz val="12"/>
        <color theme="1"/>
        <rFont val="Arial"/>
        <family val="2"/>
      </rPr>
      <t>Data:</t>
    </r>
    <r>
      <rPr>
        <sz val="12"/>
        <color theme="1"/>
        <rFont val="Arial"/>
        <family val="2"/>
      </rPr>
      <t xml:space="preserve"> Novembro/2022</t>
    </r>
  </si>
  <si>
    <t>01.20.280</t>
  </si>
  <si>
    <t>Levantamento planimétrico de área pavimentada para veículo e pedestre</t>
  </si>
  <si>
    <t>((3,3*8)+(3,38*8))*4,39= 234,60 kg - para estrutura da cobertura (Espessura de 3mm)</t>
  </si>
  <si>
    <t>4*3+(20*3)= 72,00 m - Para rede elétrica da torre</t>
  </si>
  <si>
    <t>Execução de perfil extrusado no local, sem concreto (guias)</t>
  </si>
  <si>
    <t>(225,73+217,94+15)*0,048= 22,02 m³ para guias</t>
  </si>
  <si>
    <t xml:space="preserve">39*1,2*3,7= 173,16 kg - para pilaretes </t>
  </si>
  <si>
    <t>(2,08+0,32+1,1+0,32+1,65+1,05+1,17+0,8)*1,41= 11,97 m - para torre de cronometragem</t>
  </si>
  <si>
    <t>1412,12+10692,88= 12105,00 m² - LEVANTAMENTO PLANIMÉTRICO PAVIMENTAÇÃO EM LAJOTA DA VIA DE ACESSO E PAVIMENTAÇÃO DA PISTA DE KART</t>
  </si>
  <si>
    <t xml:space="preserve">(292,53*1)/2= 146,27 m³ - para escavação </t>
  </si>
  <si>
    <t>168,35 m² para regularização da rampa</t>
  </si>
  <si>
    <t>(4+4+4+4+4+4,6+4,6+11,71+18,07)*0,12*0,2= 1,42 para guias</t>
  </si>
  <si>
    <t>6*5=30,00 mxmes - para serviços em altura</t>
  </si>
  <si>
    <t>0,36*2= 0,72 m² - PARA PISO PODOTÁTIL</t>
  </si>
  <si>
    <t>0,90*2= 1,80 m - PARA SANITÁRIOS ACESSÍVEIS</t>
  </si>
  <si>
    <t>4,05+4,9= 8,95 m - PARA ILUMINAÇÃO</t>
  </si>
  <si>
    <t>63,95*0,2*0,3= 3,84 m³ - para escavação da tubulação</t>
  </si>
  <si>
    <t>3,84-0,72= 3,12 m³ - para reaterro da tubulação</t>
  </si>
  <si>
    <t>59,6+1,35+3= 63,95 m (para alimentação )</t>
  </si>
  <si>
    <t>(11,88+4+17,91+4)*2,79= 105,43 kg - para guarda corpo de cima</t>
  </si>
  <si>
    <t>(11,88+4+17,91+4)*5*1,86= 351,45 kg - para guarda corpo</t>
  </si>
  <si>
    <t>(((11,88+4+17,91+4)*2)+(0,4*8))*2,79= 219,80 kg -  para corrimão</t>
  </si>
  <si>
    <t>(11,88+4+17,91+4)*1,1= 41,57 m² - para pintura do corrimão</t>
  </si>
  <si>
    <t>CASA QUADRO DE COMANDO</t>
  </si>
  <si>
    <t>Escavação manual em solo de 1ª e 2ª categoria em vala ou cava até 1,5 m (para radier)</t>
  </si>
  <si>
    <t>Reaterro manual apiloado sem controle de compactação (para radier)</t>
  </si>
  <si>
    <t>Concreto preparado no local, fck = 20 MPa (para radier)</t>
  </si>
  <si>
    <t>Armadura em barra de aço CA‐60 (A ou B) fyk = 600 MPa (malha)</t>
  </si>
  <si>
    <t>Alvenaria de elevação de 1 tijolo maciço comum</t>
  </si>
  <si>
    <t>14.02.040</t>
  </si>
  <si>
    <t>17.02.030</t>
  </si>
  <si>
    <t xml:space="preserve">Chapisco </t>
  </si>
  <si>
    <t>Emboço comum</t>
  </si>
  <si>
    <t>Concreto preparado no local, fck = 20 MPa (para laje)</t>
  </si>
  <si>
    <t>Lançamento, espalhamento e adensamento de concreto ou massa em lastro e/ou enchimento (para radier)</t>
  </si>
  <si>
    <t>Armadura em barra de aço CA‐60 (A ou B) fyk = 600 MPa (para laje)</t>
  </si>
  <si>
    <t>Forma plana em compensado para estrutura aparente</t>
  </si>
  <si>
    <t>09.02.040</t>
  </si>
  <si>
    <t>Tinta látex antimofo em massa, inclusive preparo</t>
  </si>
  <si>
    <t>33.10.010</t>
  </si>
  <si>
    <t>Subtotal item 6</t>
  </si>
  <si>
    <t>Subtotal item 7</t>
  </si>
  <si>
    <t>Subtotal item 8</t>
  </si>
  <si>
    <t>Subtotal item 9</t>
  </si>
  <si>
    <t>Subtotal item 10</t>
  </si>
  <si>
    <t>Subtotal item 11</t>
  </si>
  <si>
    <t>Subtotal item 12</t>
  </si>
  <si>
    <t>Subtotal item 13</t>
  </si>
  <si>
    <t>1*0,7*0,25= 0,15 m³ - para radier  casa de comando</t>
  </si>
  <si>
    <t>1*0,7*0,2= 0,14 m³ - para radier casa de comando</t>
  </si>
  <si>
    <t>1*0,7*0,05=0,04 m³ - para radier casa de comando</t>
  </si>
  <si>
    <t>16,2*0,25= 4,05 kg - para malha radier</t>
  </si>
  <si>
    <t>2*0,8= 1,60 m² - para alvenaria casa de comando</t>
  </si>
  <si>
    <t>(0,8+0,8+0,5)*2= 4,20 m² - para chapisco</t>
  </si>
  <si>
    <t>(0,8+0,8+0,5)*2= 4,20 m² - para emboço</t>
  </si>
  <si>
    <t>(0,6*0,95*0,06)+0,52= 0,55 m³ - para laje</t>
  </si>
  <si>
    <t>Lançamento, espalhamento e adensamento de concreto ou massa em lastro e/ou enchimento (para laje)</t>
  </si>
  <si>
    <t>14,8*0,25= 3,70 kg - para laje</t>
  </si>
  <si>
    <t>0,6*0,95= 0,57 m² - para laje</t>
  </si>
  <si>
    <t>(0,8+0,8+0,5)*2= 4,20 m² - para casa de comando</t>
  </si>
  <si>
    <t>Casa Quadro de comando</t>
  </si>
  <si>
    <r>
      <t>DATA: Novembro</t>
    </r>
    <r>
      <rPr>
        <sz val="10"/>
        <rFont val="Arial"/>
        <family val="2"/>
      </rPr>
      <t>/2022</t>
    </r>
  </si>
  <si>
    <t>ok</t>
  </si>
  <si>
    <t>Casa Quadro de Comando</t>
  </si>
  <si>
    <t>AGOSTO DE 2022</t>
  </si>
  <si>
    <t>CDHU 187 - Desonerada</t>
  </si>
  <si>
    <t>ppppppp</t>
  </si>
  <si>
    <t>Sub Total s/ Mercado</t>
  </si>
  <si>
    <t>BDI  (%)</t>
  </si>
  <si>
    <t>Sub Total  Mercado</t>
  </si>
  <si>
    <t>Total Geral dos Serviços</t>
  </si>
  <si>
    <t>10692,88*0,03= 320,79 m³ - para recuperação da pista de kart</t>
  </si>
  <si>
    <t>Paraguaçu Paulista, 09 de novembro de 2022.</t>
  </si>
  <si>
    <t>Paraguaçu Paulista,09 de novembro de 2022</t>
  </si>
</sst>
</file>

<file path=xl/styles.xml><?xml version="1.0" encoding="utf-8"?>
<styleSheet xmlns="http://schemas.openxmlformats.org/spreadsheetml/2006/main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-&quot;R$ &quot;* #,##0.00_-;&quot;-R$ &quot;* #,##0.00_-;_-&quot;R$ &quot;* \-??_-;_-@_-"/>
    <numFmt numFmtId="166" formatCode="_-[$R$-416]\ * #,##0.00_-;\-[$R$-416]\ * #,##0.00_-;_-[$R$-416]\ * &quot;-&quot;??_-;_-@_-"/>
  </numFmts>
  <fonts count="53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3.5"/>
      <color theme="1"/>
      <name val="Arial"/>
      <family val="2"/>
    </font>
    <font>
      <sz val="10"/>
      <name val="Arial"/>
      <family val="2"/>
      <charset val="1"/>
    </font>
    <font>
      <sz val="10"/>
      <name val="MS Sans Serif"/>
      <family val="2"/>
    </font>
    <font>
      <sz val="10"/>
      <name val="MS Sans Serif"/>
    </font>
    <font>
      <sz val="11"/>
      <color rgb="FF000000"/>
      <name val="Arial"/>
      <family val="2"/>
      <charset val="1"/>
    </font>
    <font>
      <u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0"/>
      <color rgb="FF000000"/>
      <name val="Arial"/>
      <family val="2"/>
      <charset val="1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6"/>
      <name val="Calibri"/>
      <family val="2"/>
      <scheme val="minor"/>
    </font>
    <font>
      <b/>
      <sz val="8"/>
      <name val="Calibri"/>
      <family val="2"/>
      <scheme val="minor"/>
    </font>
    <font>
      <b/>
      <u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color rgb="FFFF0000"/>
      <name val="MS Sans Serif"/>
      <family val="2"/>
    </font>
    <font>
      <sz val="10"/>
      <color rgb="FF000000"/>
      <name val="Times New Roman"/>
      <family val="1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u val="singleAccounting"/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auto="1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medium">
        <color auto="1"/>
      </top>
      <bottom/>
      <diagonal/>
    </border>
  </borders>
  <cellStyleXfs count="15">
    <xf numFmtId="0" fontId="0" fillId="0" borderId="0"/>
    <xf numFmtId="44" fontId="6" fillId="0" borderId="0" applyFont="0" applyFill="0" applyBorder="0" applyAlignment="0" applyProtection="0"/>
    <xf numFmtId="0" fontId="8" fillId="0" borderId="0"/>
    <xf numFmtId="9" fontId="8" fillId="0" borderId="0" applyBorder="0" applyProtection="0"/>
    <xf numFmtId="9" fontId="8" fillId="0" borderId="0" applyBorder="0" applyProtection="0"/>
    <xf numFmtId="0" fontId="9" fillId="0" borderId="0"/>
    <xf numFmtId="164" fontId="8" fillId="0" borderId="0" applyBorder="0" applyProtection="0"/>
    <xf numFmtId="0" fontId="9" fillId="0" borderId="0"/>
    <xf numFmtId="44" fontId="9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3" fillId="0" borderId="0"/>
    <xf numFmtId="44" fontId="33" fillId="0" borderId="0" applyFont="0" applyFill="0" applyBorder="0" applyAlignment="0" applyProtection="0"/>
  </cellStyleXfs>
  <cellXfs count="46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2" borderId="1" xfId="0" applyFont="1" applyFill="1" applyBorder="1"/>
    <xf numFmtId="0" fontId="2" fillId="0" borderId="6" xfId="0" applyFont="1" applyBorder="1" applyAlignmen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/>
    </xf>
    <xf numFmtId="44" fontId="1" fillId="2" borderId="1" xfId="1" applyFont="1" applyFill="1" applyBorder="1"/>
    <xf numFmtId="44" fontId="0" fillId="0" borderId="0" xfId="0" applyNumberFormat="1"/>
    <xf numFmtId="2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4" fontId="1" fillId="0" borderId="1" xfId="1" applyFont="1" applyFill="1" applyBorder="1"/>
    <xf numFmtId="0" fontId="0" fillId="0" borderId="0" xfId="0" applyFill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/>
    <xf numFmtId="44" fontId="3" fillId="0" borderId="1" xfId="1" applyFont="1" applyFill="1" applyBorder="1"/>
    <xf numFmtId="0" fontId="0" fillId="0" borderId="0" xfId="0" applyBorder="1"/>
    <xf numFmtId="44" fontId="0" fillId="0" borderId="0" xfId="0" applyNumberForma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wrapText="1"/>
    </xf>
    <xf numFmtId="0" fontId="3" fillId="2" borderId="1" xfId="0" applyFont="1" applyFill="1" applyBorder="1" applyAlignment="1">
      <alignment horizontal="center"/>
    </xf>
    <xf numFmtId="0" fontId="12" fillId="0" borderId="0" xfId="0" applyFont="1"/>
    <xf numFmtId="0" fontId="12" fillId="0" borderId="0" xfId="0" applyFont="1" applyBorder="1"/>
    <xf numFmtId="0" fontId="1" fillId="0" borderId="11" xfId="0" applyFont="1" applyFill="1" applyBorder="1" applyAlignment="1">
      <alignment horizontal="center"/>
    </xf>
    <xf numFmtId="0" fontId="1" fillId="2" borderId="12" xfId="0" applyFont="1" applyFill="1" applyBorder="1"/>
    <xf numFmtId="0" fontId="3" fillId="2" borderId="12" xfId="0" applyFont="1" applyFill="1" applyBorder="1" applyAlignment="1">
      <alignment horizontal="left"/>
    </xf>
    <xf numFmtId="0" fontId="1" fillId="0" borderId="13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44" fontId="0" fillId="0" borderId="0" xfId="0" applyNumberFormat="1" applyFill="1"/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1" fillId="2" borderId="11" xfId="0" applyFont="1" applyFill="1" applyBorder="1"/>
    <xf numFmtId="165" fontId="13" fillId="0" borderId="10" xfId="0" applyNumberFormat="1" applyFont="1" applyBorder="1" applyAlignment="1">
      <alignment horizontal="right"/>
    </xf>
    <xf numFmtId="44" fontId="1" fillId="0" borderId="1" xfId="1" applyFont="1" applyFill="1" applyBorder="1" applyAlignment="1"/>
    <xf numFmtId="0" fontId="3" fillId="0" borderId="1" xfId="0" applyFont="1" applyBorder="1" applyAlignment="1"/>
    <xf numFmtId="44" fontId="3" fillId="0" borderId="1" xfId="1" applyFont="1" applyFill="1" applyBorder="1" applyAlignment="1"/>
    <xf numFmtId="0" fontId="0" fillId="0" borderId="7" xfId="0" applyBorder="1"/>
    <xf numFmtId="0" fontId="0" fillId="0" borderId="6" xfId="0" applyBorder="1"/>
    <xf numFmtId="0" fontId="0" fillId="0" borderId="8" xfId="0" applyBorder="1"/>
    <xf numFmtId="0" fontId="0" fillId="0" borderId="2" xfId="0" applyBorder="1"/>
    <xf numFmtId="0" fontId="0" fillId="0" borderId="9" xfId="0" applyBorder="1"/>
    <xf numFmtId="0" fontId="3" fillId="0" borderId="1" xfId="0" applyFont="1" applyFill="1" applyBorder="1" applyAlignment="1">
      <alignment horizontal="right" wrapText="1"/>
    </xf>
    <xf numFmtId="0" fontId="3" fillId="0" borderId="10" xfId="0" applyFont="1" applyFill="1" applyBorder="1" applyAlignment="1">
      <alignment horizontal="right" wrapText="1"/>
    </xf>
    <xf numFmtId="43" fontId="0" fillId="0" borderId="0" xfId="0" applyNumberFormat="1" applyFill="1"/>
    <xf numFmtId="0" fontId="1" fillId="0" borderId="6" xfId="0" applyFont="1" applyFill="1" applyBorder="1"/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0" xfId="7" applyAlignment="1" applyProtection="1">
      <alignment vertical="center"/>
    </xf>
    <xf numFmtId="0" fontId="9" fillId="3" borderId="0" xfId="7" applyFill="1" applyBorder="1" applyAlignment="1" applyProtection="1">
      <alignment vertical="center"/>
    </xf>
    <xf numFmtId="0" fontId="9" fillId="3" borderId="0" xfId="7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7" applyFont="1" applyAlignment="1" applyProtection="1">
      <alignment horizontal="center" vertical="center"/>
    </xf>
    <xf numFmtId="0" fontId="18" fillId="3" borderId="0" xfId="7" applyFont="1" applyFill="1" applyBorder="1" applyAlignment="1" applyProtection="1">
      <alignment horizontal="center" vertical="center"/>
    </xf>
    <xf numFmtId="0" fontId="18" fillId="3" borderId="0" xfId="7" applyFont="1" applyFill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9" fillId="0" borderId="0" xfId="7" applyBorder="1" applyAlignment="1" applyProtection="1">
      <alignment vertical="center"/>
    </xf>
    <xf numFmtId="0" fontId="6" fillId="3" borderId="0" xfId="7" applyFont="1" applyFill="1" applyBorder="1" applyAlignment="1" applyProtection="1">
      <alignment vertical="center"/>
    </xf>
    <xf numFmtId="0" fontId="22" fillId="0" borderId="0" xfId="7" applyFont="1" applyBorder="1" applyAlignment="1" applyProtection="1">
      <alignment vertical="center"/>
    </xf>
    <xf numFmtId="0" fontId="20" fillId="0" borderId="0" xfId="7" applyFont="1" applyBorder="1" applyAlignment="1" applyProtection="1">
      <alignment vertical="center"/>
    </xf>
    <xf numFmtId="0" fontId="19" fillId="0" borderId="0" xfId="7" applyFont="1" applyBorder="1" applyAlignment="1" applyProtection="1">
      <alignment vertical="center"/>
    </xf>
    <xf numFmtId="0" fontId="19" fillId="0" borderId="0" xfId="7" applyFont="1" applyBorder="1" applyAlignment="1" applyProtection="1">
      <alignment horizontal="centerContinuous" vertical="center"/>
    </xf>
    <xf numFmtId="0" fontId="20" fillId="3" borderId="0" xfId="7" applyFont="1" applyFill="1" applyBorder="1" applyAlignment="1" applyProtection="1">
      <alignment vertical="center" wrapText="1"/>
    </xf>
    <xf numFmtId="0" fontId="22" fillId="0" borderId="0" xfId="7" applyFont="1" applyBorder="1" applyAlignment="1" applyProtection="1">
      <alignment vertical="center" wrapText="1"/>
    </xf>
    <xf numFmtId="14" fontId="20" fillId="0" borderId="2" xfId="7" applyNumberFormat="1" applyFont="1" applyBorder="1" applyAlignment="1" applyProtection="1">
      <alignment vertical="center"/>
    </xf>
    <xf numFmtId="0" fontId="24" fillId="0" borderId="0" xfId="7" applyFont="1" applyBorder="1" applyAlignment="1" applyProtection="1">
      <alignment horizontal="left" vertical="center"/>
    </xf>
    <xf numFmtId="0" fontId="18" fillId="3" borderId="0" xfId="7" applyFont="1" applyFill="1" applyBorder="1" applyAlignment="1" applyProtection="1">
      <alignment vertical="center" wrapText="1"/>
    </xf>
    <xf numFmtId="0" fontId="20" fillId="0" borderId="0" xfId="7" applyFont="1" applyBorder="1" applyAlignment="1" applyProtection="1">
      <alignment horizontal="center" vertical="center"/>
    </xf>
    <xf numFmtId="0" fontId="6" fillId="3" borderId="0" xfId="7" applyFont="1" applyFill="1" applyBorder="1" applyAlignment="1" applyProtection="1">
      <alignment horizontal="left" vertical="center"/>
    </xf>
    <xf numFmtId="0" fontId="27" fillId="0" borderId="10" xfId="7" applyFont="1" applyBorder="1" applyAlignment="1" applyProtection="1">
      <alignment vertical="center" wrapText="1"/>
    </xf>
    <xf numFmtId="0" fontId="27" fillId="0" borderId="14" xfId="7" applyFont="1" applyBorder="1" applyAlignment="1" applyProtection="1">
      <alignment vertical="center" wrapText="1"/>
    </xf>
    <xf numFmtId="0" fontId="28" fillId="0" borderId="10" xfId="5" applyFont="1" applyBorder="1" applyAlignment="1" applyProtection="1">
      <alignment horizontal="right" vertical="center" wrapText="1"/>
    </xf>
    <xf numFmtId="0" fontId="19" fillId="0" borderId="14" xfId="5" applyFont="1" applyBorder="1" applyAlignment="1" applyProtection="1">
      <alignment horizontal="center" vertical="center" wrapText="1"/>
      <protection hidden="1"/>
    </xf>
    <xf numFmtId="0" fontId="28" fillId="0" borderId="11" xfId="5" applyFont="1" applyBorder="1" applyAlignment="1" applyProtection="1">
      <alignment vertical="center" wrapText="1"/>
    </xf>
    <xf numFmtId="0" fontId="23" fillId="0" borderId="0" xfId="5" applyFont="1" applyBorder="1" applyAlignment="1" applyProtection="1">
      <alignment horizontal="center" vertical="center" wrapText="1"/>
    </xf>
    <xf numFmtId="0" fontId="23" fillId="0" borderId="5" xfId="5" applyFont="1" applyBorder="1" applyAlignment="1" applyProtection="1">
      <alignment horizontal="center" vertical="center" wrapText="1"/>
    </xf>
    <xf numFmtId="0" fontId="23" fillId="0" borderId="0" xfId="5" applyFont="1" applyBorder="1" applyAlignment="1" applyProtection="1">
      <alignment horizontal="center" vertical="center" wrapText="1"/>
      <protection locked="0"/>
    </xf>
    <xf numFmtId="0" fontId="22" fillId="0" borderId="5" xfId="5" applyFont="1" applyBorder="1" applyAlignment="1" applyProtection="1">
      <alignment horizontal="center" vertical="center" wrapText="1"/>
    </xf>
    <xf numFmtId="0" fontId="23" fillId="3" borderId="0" xfId="7" applyFont="1" applyFill="1" applyBorder="1" applyAlignment="1" applyProtection="1">
      <alignment vertical="center" wrapText="1"/>
    </xf>
    <xf numFmtId="0" fontId="22" fillId="0" borderId="7" xfId="5" applyFont="1" applyBorder="1" applyAlignment="1" applyProtection="1">
      <alignment horizontal="center" vertical="center" wrapText="1"/>
    </xf>
    <xf numFmtId="0" fontId="23" fillId="0" borderId="7" xfId="5" applyFont="1" applyBorder="1" applyAlignment="1" applyProtection="1">
      <alignment horizontal="center" vertical="center" wrapText="1"/>
    </xf>
    <xf numFmtId="0" fontId="23" fillId="0" borderId="2" xfId="5" applyFont="1" applyBorder="1" applyAlignment="1" applyProtection="1">
      <alignment horizontal="center" vertical="center" wrapText="1"/>
    </xf>
    <xf numFmtId="0" fontId="23" fillId="0" borderId="9" xfId="5" applyFont="1" applyBorder="1" applyAlignment="1" applyProtection="1">
      <alignment horizontal="center" vertical="center" wrapText="1"/>
    </xf>
    <xf numFmtId="0" fontId="20" fillId="0" borderId="16" xfId="7" applyFont="1" applyBorder="1" applyAlignment="1" applyProtection="1">
      <alignment horizontal="center" vertical="center"/>
    </xf>
    <xf numFmtId="10" fontId="20" fillId="0" borderId="17" xfId="12" applyNumberFormat="1" applyFont="1" applyFill="1" applyBorder="1" applyAlignment="1" applyProtection="1">
      <alignment vertical="center" wrapText="1"/>
      <protection hidden="1"/>
    </xf>
    <xf numFmtId="10" fontId="20" fillId="0" borderId="17" xfId="12" applyNumberFormat="1" applyFont="1" applyBorder="1" applyAlignment="1" applyProtection="1">
      <alignment vertical="center" wrapText="1"/>
      <protection hidden="1"/>
    </xf>
    <xf numFmtId="10" fontId="20" fillId="0" borderId="18" xfId="12" applyNumberFormat="1" applyFont="1" applyBorder="1" applyAlignment="1" applyProtection="1">
      <alignment vertical="center" wrapText="1"/>
      <protection hidden="1"/>
    </xf>
    <xf numFmtId="10" fontId="20" fillId="0" borderId="19" xfId="12" applyNumberFormat="1" applyFont="1" applyBorder="1" applyAlignment="1" applyProtection="1">
      <alignment horizontal="center" vertical="center" wrapText="1"/>
      <protection hidden="1"/>
    </xf>
    <xf numFmtId="0" fontId="20" fillId="0" borderId="9" xfId="7" applyFont="1" applyBorder="1" applyAlignment="1" applyProtection="1">
      <alignment horizontal="center" vertical="center"/>
    </xf>
    <xf numFmtId="4" fontId="19" fillId="1" borderId="12" xfId="7" applyNumberFormat="1" applyFont="1" applyFill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vertical="center"/>
    </xf>
    <xf numFmtId="0" fontId="20" fillId="3" borderId="0" xfId="7" applyFont="1" applyFill="1" applyBorder="1" applyAlignment="1" applyProtection="1">
      <alignment horizontal="center" vertical="center"/>
    </xf>
    <xf numFmtId="0" fontId="20" fillId="3" borderId="0" xfId="7" applyFont="1" applyFill="1" applyAlignment="1" applyProtection="1">
      <alignment horizontal="center" vertical="center"/>
    </xf>
    <xf numFmtId="44" fontId="20" fillId="0" borderId="19" xfId="1" applyFont="1" applyFill="1" applyBorder="1" applyAlignment="1" applyProtection="1">
      <alignment horizontal="center" vertical="center" wrapText="1"/>
      <protection hidden="1"/>
    </xf>
    <xf numFmtId="0" fontId="19" fillId="3" borderId="0" xfId="7" applyFont="1" applyFill="1" applyBorder="1" applyAlignment="1" applyProtection="1">
      <alignment horizontal="center" vertical="center"/>
    </xf>
    <xf numFmtId="10" fontId="19" fillId="0" borderId="1" xfId="12" applyNumberFormat="1" applyFont="1" applyBorder="1" applyAlignment="1" applyProtection="1">
      <alignment horizontal="center" vertical="center" wrapText="1"/>
      <protection hidden="1"/>
    </xf>
    <xf numFmtId="0" fontId="19" fillId="3" borderId="0" xfId="7" applyFont="1" applyFill="1" applyBorder="1" applyAlignment="1" applyProtection="1">
      <alignment horizontal="right" vertical="center"/>
    </xf>
    <xf numFmtId="166" fontId="20" fillId="0" borderId="0" xfId="8" applyNumberFormat="1" applyFont="1" applyBorder="1" applyAlignment="1" applyProtection="1">
      <alignment horizontal="center" vertical="center"/>
    </xf>
    <xf numFmtId="0" fontId="20" fillId="3" borderId="0" xfId="7" applyFont="1" applyFill="1" applyBorder="1" applyAlignment="1" applyProtection="1">
      <alignment horizontal="right" vertical="center"/>
    </xf>
    <xf numFmtId="0" fontId="0" fillId="0" borderId="0" xfId="0" applyBorder="1" applyAlignment="1" applyProtection="1">
      <alignment vertical="center"/>
    </xf>
    <xf numFmtId="0" fontId="19" fillId="0" borderId="0" xfId="7" applyNumberFormat="1" applyFont="1" applyBorder="1" applyAlignment="1" applyProtection="1">
      <alignment vertical="center" wrapText="1"/>
    </xf>
    <xf numFmtId="0" fontId="20" fillId="0" borderId="0" xfId="7" applyNumberFormat="1" applyFont="1" applyBorder="1" applyAlignment="1" applyProtection="1">
      <alignment vertical="center" wrapText="1"/>
    </xf>
    <xf numFmtId="0" fontId="20" fillId="3" borderId="0" xfId="7" applyFont="1" applyFill="1" applyBorder="1" applyAlignment="1" applyProtection="1">
      <alignment vertical="center"/>
    </xf>
    <xf numFmtId="14" fontId="19" fillId="3" borderId="0" xfId="7" applyNumberFormat="1" applyFont="1" applyFill="1" applyBorder="1" applyAlignment="1" applyProtection="1">
      <alignment horizontal="center" vertical="center"/>
    </xf>
    <xf numFmtId="0" fontId="9" fillId="0" borderId="24" xfId="7" applyBorder="1" applyAlignment="1" applyProtection="1">
      <alignment horizontal="left" vertical="center"/>
    </xf>
    <xf numFmtId="0" fontId="20" fillId="0" borderId="0" xfId="7" applyFont="1" applyBorder="1" applyAlignment="1" applyProtection="1">
      <alignment horizontal="center" vertical="center" wrapText="1"/>
    </xf>
    <xf numFmtId="0" fontId="32" fillId="0" borderId="0" xfId="7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4" fontId="20" fillId="3" borderId="0" xfId="7" applyNumberFormat="1" applyFont="1" applyFill="1" applyBorder="1" applyAlignment="1" applyProtection="1">
      <alignment vertical="center"/>
    </xf>
    <xf numFmtId="0" fontId="33" fillId="0" borderId="0" xfId="13" applyFill="1" applyBorder="1" applyAlignment="1">
      <alignment horizontal="left" vertical="top"/>
    </xf>
    <xf numFmtId="0" fontId="33" fillId="2" borderId="29" xfId="13" applyFill="1" applyBorder="1" applyAlignment="1">
      <alignment horizontal="left" vertical="top" wrapText="1"/>
    </xf>
    <xf numFmtId="0" fontId="37" fillId="2" borderId="30" xfId="13" applyFont="1" applyFill="1" applyBorder="1" applyAlignment="1">
      <alignment horizontal="right" vertical="top" wrapText="1"/>
    </xf>
    <xf numFmtId="0" fontId="37" fillId="2" borderId="31" xfId="13" applyFont="1" applyFill="1" applyBorder="1" applyAlignment="1">
      <alignment horizontal="center" vertical="top" wrapText="1"/>
    </xf>
    <xf numFmtId="0" fontId="38" fillId="2" borderId="34" xfId="13" applyFont="1" applyFill="1" applyBorder="1" applyAlignment="1">
      <alignment horizontal="right" vertical="top" wrapText="1"/>
    </xf>
    <xf numFmtId="1" fontId="39" fillId="2" borderId="34" xfId="13" applyNumberFormat="1" applyFont="1" applyFill="1" applyBorder="1" applyAlignment="1">
      <alignment horizontal="right" vertical="top" wrapText="1"/>
    </xf>
    <xf numFmtId="10" fontId="40" fillId="4" borderId="31" xfId="13" applyNumberFormat="1" applyFont="1" applyFill="1" applyBorder="1" applyAlignment="1">
      <alignment horizontal="center" vertical="top" wrapText="1"/>
    </xf>
    <xf numFmtId="10" fontId="41" fillId="3" borderId="32" xfId="13" applyNumberFormat="1" applyFont="1" applyFill="1" applyBorder="1" applyAlignment="1">
      <alignment horizontal="right" vertical="top" wrapText="1"/>
    </xf>
    <xf numFmtId="44" fontId="40" fillId="0" borderId="34" xfId="14" applyFont="1" applyFill="1" applyBorder="1" applyAlignment="1">
      <alignment horizontal="center" vertical="top" wrapText="1"/>
    </xf>
    <xf numFmtId="44" fontId="42" fillId="3" borderId="35" xfId="14" applyFont="1" applyFill="1" applyBorder="1" applyAlignment="1">
      <alignment horizontal="right" vertical="top" wrapText="1"/>
    </xf>
    <xf numFmtId="44" fontId="33" fillId="0" borderId="0" xfId="13" applyNumberFormat="1" applyFill="1" applyBorder="1" applyAlignment="1">
      <alignment horizontal="left" vertical="top"/>
    </xf>
    <xf numFmtId="44" fontId="40" fillId="0" borderId="34" xfId="13" applyNumberFormat="1" applyFont="1" applyFill="1" applyBorder="1" applyAlignment="1">
      <alignment horizontal="left" vertical="top" wrapText="1"/>
    </xf>
    <xf numFmtId="44" fontId="40" fillId="0" borderId="38" xfId="13" applyNumberFormat="1" applyFont="1" applyFill="1" applyBorder="1" applyAlignment="1">
      <alignment horizontal="left" vertical="top" wrapText="1"/>
    </xf>
    <xf numFmtId="10" fontId="41" fillId="3" borderId="39" xfId="13" applyNumberFormat="1" applyFont="1" applyFill="1" applyBorder="1" applyAlignment="1">
      <alignment horizontal="right" vertical="top" wrapText="1"/>
    </xf>
    <xf numFmtId="44" fontId="40" fillId="0" borderId="34" xfId="14" applyFont="1" applyFill="1" applyBorder="1" applyAlignment="1">
      <alignment horizontal="left" vertical="top" wrapText="1"/>
    </xf>
    <xf numFmtId="10" fontId="40" fillId="3" borderId="41" xfId="13" applyNumberFormat="1" applyFont="1" applyFill="1" applyBorder="1" applyAlignment="1">
      <alignment horizontal="center" vertical="top" wrapText="1"/>
    </xf>
    <xf numFmtId="10" fontId="41" fillId="3" borderId="42" xfId="13" applyNumberFormat="1" applyFont="1" applyFill="1" applyBorder="1" applyAlignment="1">
      <alignment horizontal="right" vertical="top" wrapText="1"/>
    </xf>
    <xf numFmtId="44" fontId="40" fillId="3" borderId="41" xfId="14" applyFont="1" applyFill="1" applyBorder="1" applyAlignment="1">
      <alignment horizontal="center" vertical="top" wrapText="1"/>
    </xf>
    <xf numFmtId="44" fontId="41" fillId="3" borderId="42" xfId="14" applyFont="1" applyFill="1" applyBorder="1" applyAlignment="1">
      <alignment horizontal="center" vertical="top" wrapText="1"/>
    </xf>
    <xf numFmtId="0" fontId="36" fillId="0" borderId="43" xfId="13" applyFont="1" applyFill="1" applyBorder="1" applyAlignment="1">
      <alignment wrapText="1"/>
    </xf>
    <xf numFmtId="0" fontId="36" fillId="0" borderId="44" xfId="13" applyFont="1" applyFill="1" applyBorder="1" applyAlignment="1">
      <alignment wrapText="1"/>
    </xf>
    <xf numFmtId="0" fontId="36" fillId="0" borderId="0" xfId="13" applyFont="1" applyFill="1" applyBorder="1" applyAlignment="1">
      <alignment wrapText="1"/>
    </xf>
    <xf numFmtId="0" fontId="36" fillId="0" borderId="7" xfId="13" applyFont="1" applyFill="1" applyBorder="1" applyAlignment="1">
      <alignment wrapText="1"/>
    </xf>
    <xf numFmtId="0" fontId="36" fillId="0" borderId="2" xfId="13" applyFont="1" applyFill="1" applyBorder="1" applyAlignment="1">
      <alignment vertical="top" wrapText="1"/>
    </xf>
    <xf numFmtId="0" fontId="36" fillId="0" borderId="9" xfId="13" applyFont="1" applyFill="1" applyBorder="1" applyAlignment="1">
      <alignment vertical="top" wrapText="1"/>
    </xf>
    <xf numFmtId="44" fontId="42" fillId="3" borderId="39" xfId="14" applyFont="1" applyFill="1" applyBorder="1" applyAlignment="1">
      <alignment horizontal="right" vertical="top" wrapText="1"/>
    </xf>
    <xf numFmtId="0" fontId="33" fillId="0" borderId="6" xfId="13" applyFill="1" applyBorder="1" applyAlignment="1">
      <alignment horizontal="left" vertical="top"/>
    </xf>
    <xf numFmtId="0" fontId="33" fillId="0" borderId="3" xfId="13" applyFill="1" applyBorder="1" applyAlignment="1">
      <alignment horizontal="left" vertical="top"/>
    </xf>
    <xf numFmtId="0" fontId="33" fillId="0" borderId="8" xfId="13" applyFill="1" applyBorder="1" applyAlignment="1">
      <alignment horizontal="left" vertical="top"/>
    </xf>
    <xf numFmtId="10" fontId="40" fillId="4" borderId="45" xfId="13" applyNumberFormat="1" applyFont="1" applyFill="1" applyBorder="1" applyAlignment="1">
      <alignment horizontal="center" vertical="top" wrapText="1"/>
    </xf>
    <xf numFmtId="10" fontId="41" fillId="3" borderId="12" xfId="13" applyNumberFormat="1" applyFont="1" applyFill="1" applyBorder="1" applyAlignment="1">
      <alignment horizontal="right" vertical="top" wrapText="1"/>
    </xf>
    <xf numFmtId="44" fontId="42" fillId="3" borderId="13" xfId="14" applyFont="1" applyFill="1" applyBorder="1" applyAlignment="1">
      <alignment horizontal="right" vertical="top" wrapText="1"/>
    </xf>
    <xf numFmtId="2" fontId="1" fillId="0" borderId="1" xfId="0" applyNumberFormat="1" applyFont="1" applyFill="1" applyBorder="1" applyAlignment="1">
      <alignment horizontal="center" vertical="center"/>
    </xf>
    <xf numFmtId="44" fontId="1" fillId="0" borderId="1" xfId="0" applyNumberFormat="1" applyFont="1" applyFill="1" applyBorder="1"/>
    <xf numFmtId="165" fontId="46" fillId="0" borderId="10" xfId="0" applyNumberFormat="1" applyFont="1" applyBorder="1" applyAlignment="1">
      <alignment horizontal="left"/>
    </xf>
    <xf numFmtId="44" fontId="46" fillId="0" borderId="1" xfId="0" applyNumberFormat="1" applyFont="1" applyBorder="1" applyAlignment="1"/>
    <xf numFmtId="0" fontId="3" fillId="2" borderId="3" xfId="0" applyFont="1" applyFill="1" applyBorder="1" applyAlignment="1">
      <alignment horizontal="left"/>
    </xf>
    <xf numFmtId="0" fontId="1" fillId="0" borderId="12" xfId="0" applyFont="1" applyFill="1" applyBorder="1"/>
    <xf numFmtId="0" fontId="1" fillId="0" borderId="3" xfId="0" applyFont="1" applyFill="1" applyBorder="1" applyAlignment="1">
      <alignment horizontal="left"/>
    </xf>
    <xf numFmtId="0" fontId="47" fillId="0" borderId="1" xfId="0" applyFont="1" applyFill="1" applyBorder="1" applyAlignment="1">
      <alignment wrapText="1"/>
    </xf>
    <xf numFmtId="0" fontId="1" fillId="0" borderId="3" xfId="0" applyFont="1" applyFill="1" applyBorder="1" applyAlignment="1">
      <alignment horizontal="left" wrapText="1"/>
    </xf>
    <xf numFmtId="0" fontId="1" fillId="0" borderId="12" xfId="0" applyFont="1" applyFill="1" applyBorder="1" applyAlignment="1">
      <alignment horizontal="center"/>
    </xf>
    <xf numFmtId="0" fontId="3" fillId="2" borderId="1" xfId="0" applyFont="1" applyFill="1" applyBorder="1"/>
    <xf numFmtId="0" fontId="3" fillId="2" borderId="12" xfId="0" applyFont="1" applyFill="1" applyBorder="1"/>
    <xf numFmtId="2" fontId="46" fillId="0" borderId="1" xfId="0" applyNumberFormat="1" applyFont="1" applyBorder="1" applyAlignment="1">
      <alignment horizontal="center"/>
    </xf>
    <xf numFmtId="165" fontId="46" fillId="0" borderId="10" xfId="0" applyNumberFormat="1" applyFont="1" applyBorder="1" applyAlignment="1">
      <alignment horizontal="left" wrapText="1"/>
    </xf>
    <xf numFmtId="0" fontId="3" fillId="0" borderId="3" xfId="0" applyFont="1" applyFill="1" applyBorder="1" applyAlignment="1">
      <alignment horizontal="right"/>
    </xf>
    <xf numFmtId="44" fontId="48" fillId="0" borderId="1" xfId="1" applyFont="1" applyFill="1" applyBorder="1"/>
    <xf numFmtId="0" fontId="1" fillId="0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/>
    </xf>
    <xf numFmtId="165" fontId="13" fillId="2" borderId="10" xfId="0" applyNumberFormat="1" applyFont="1" applyFill="1" applyBorder="1" applyAlignment="1">
      <alignment horizontal="left"/>
    </xf>
    <xf numFmtId="2" fontId="46" fillId="2" borderId="1" xfId="0" applyNumberFormat="1" applyFont="1" applyFill="1" applyBorder="1" applyAlignment="1">
      <alignment horizontal="center"/>
    </xf>
    <xf numFmtId="44" fontId="46" fillId="2" borderId="1" xfId="0" applyNumberFormat="1" applyFont="1" applyFill="1" applyBorder="1" applyAlignment="1"/>
    <xf numFmtId="0" fontId="1" fillId="0" borderId="1" xfId="0" applyFont="1" applyBorder="1" applyAlignment="1">
      <alignment horizontal="center" vertical="center"/>
    </xf>
    <xf numFmtId="0" fontId="47" fillId="0" borderId="1" xfId="0" applyFont="1" applyBorder="1" applyAlignment="1">
      <alignment horizontal="left" wrapText="1"/>
    </xf>
    <xf numFmtId="2" fontId="1" fillId="0" borderId="1" xfId="0" applyNumberFormat="1" applyFont="1" applyBorder="1" applyAlignment="1">
      <alignment horizontal="center"/>
    </xf>
    <xf numFmtId="44" fontId="46" fillId="0" borderId="1" xfId="0" applyNumberFormat="1" applyFont="1" applyFill="1" applyBorder="1" applyAlignment="1"/>
    <xf numFmtId="0" fontId="46" fillId="0" borderId="1" xfId="0" applyFont="1" applyFill="1" applyBorder="1" applyAlignment="1">
      <alignment horizontal="center"/>
    </xf>
    <xf numFmtId="165" fontId="46" fillId="0" borderId="10" xfId="0" applyNumberFormat="1" applyFont="1" applyFill="1" applyBorder="1" applyAlignment="1">
      <alignment horizontal="left" wrapText="1"/>
    </xf>
    <xf numFmtId="2" fontId="46" fillId="0" borderId="1" xfId="0" applyNumberFormat="1" applyFont="1" applyFill="1" applyBorder="1" applyAlignment="1">
      <alignment horizontal="center"/>
    </xf>
    <xf numFmtId="165" fontId="46" fillId="0" borderId="1" xfId="0" applyNumberFormat="1" applyFont="1" applyBorder="1" applyAlignment="1">
      <alignment horizontal="left"/>
    </xf>
    <xf numFmtId="0" fontId="1" fillId="0" borderId="13" xfId="0" applyFont="1" applyFill="1" applyBorder="1" applyAlignment="1">
      <alignment horizontal="center" vertical="center"/>
    </xf>
    <xf numFmtId="0" fontId="11" fillId="0" borderId="13" xfId="0" applyFont="1" applyBorder="1" applyAlignment="1">
      <alignment horizontal="center"/>
    </xf>
    <xf numFmtId="165" fontId="13" fillId="2" borderId="1" xfId="0" applyNumberFormat="1" applyFont="1" applyFill="1" applyBorder="1" applyAlignment="1">
      <alignment horizontal="left"/>
    </xf>
    <xf numFmtId="0" fontId="11" fillId="0" borderId="10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/>
    </xf>
    <xf numFmtId="44" fontId="1" fillId="0" borderId="1" xfId="0" applyNumberFormat="1" applyFont="1" applyBorder="1" applyAlignment="1">
      <alignment horizontal="center" vertical="center"/>
    </xf>
    <xf numFmtId="0" fontId="0" fillId="0" borderId="0" xfId="0" applyFill="1" applyBorder="1"/>
    <xf numFmtId="0" fontId="1" fillId="0" borderId="10" xfId="0" applyFont="1" applyFill="1" applyBorder="1" applyAlignment="1">
      <alignment horizontal="left" wrapText="1"/>
    </xf>
    <xf numFmtId="0" fontId="47" fillId="0" borderId="3" xfId="0" applyFont="1" applyFill="1" applyBorder="1" applyAlignment="1">
      <alignment wrapText="1"/>
    </xf>
    <xf numFmtId="0" fontId="19" fillId="0" borderId="0" xfId="7" applyFont="1" applyBorder="1" applyAlignment="1" applyProtection="1">
      <alignment horizontal="center" vertical="center"/>
    </xf>
    <xf numFmtId="0" fontId="19" fillId="2" borderId="1" xfId="7" applyFont="1" applyFill="1" applyBorder="1" applyAlignment="1" applyProtection="1">
      <alignment horizontal="center" vertical="center"/>
    </xf>
    <xf numFmtId="0" fontId="9" fillId="0" borderId="0" xfId="7" applyBorder="1" applyAlignment="1" applyProtection="1">
      <alignment horizontal="left" vertical="center"/>
    </xf>
    <xf numFmtId="44" fontId="0" fillId="0" borderId="0" xfId="1" applyFont="1" applyFill="1"/>
    <xf numFmtId="165" fontId="46" fillId="0" borderId="1" xfId="0" applyNumberFormat="1" applyFont="1" applyBorder="1" applyAlignment="1">
      <alignment horizontal="left" wrapText="1"/>
    </xf>
    <xf numFmtId="0" fontId="0" fillId="0" borderId="1" xfId="0" applyBorder="1"/>
    <xf numFmtId="44" fontId="40" fillId="0" borderId="46" xfId="14" applyFont="1" applyFill="1" applyBorder="1" applyAlignment="1">
      <alignment horizontal="center" vertical="top" wrapText="1"/>
    </xf>
    <xf numFmtId="10" fontId="40" fillId="4" borderId="46" xfId="13" applyNumberFormat="1" applyFont="1" applyFill="1" applyBorder="1" applyAlignment="1">
      <alignment horizontal="center" vertical="top" wrapText="1"/>
    </xf>
    <xf numFmtId="44" fontId="40" fillId="0" borderId="38" xfId="14" applyFont="1" applyFill="1" applyBorder="1" applyAlignment="1">
      <alignment horizontal="left" vertical="top" wrapText="1"/>
    </xf>
    <xf numFmtId="10" fontId="40" fillId="3" borderId="47" xfId="13" applyNumberFormat="1" applyFont="1" applyFill="1" applyBorder="1" applyAlignment="1">
      <alignment horizontal="center" vertical="top" wrapText="1"/>
    </xf>
    <xf numFmtId="44" fontId="40" fillId="3" borderId="47" xfId="14" applyFont="1" applyFill="1" applyBorder="1" applyAlignment="1">
      <alignment horizontal="center" vertical="top" wrapText="1"/>
    </xf>
    <xf numFmtId="10" fontId="40" fillId="4" borderId="48" xfId="13" applyNumberFormat="1" applyFont="1" applyFill="1" applyBorder="1" applyAlignment="1">
      <alignment horizontal="center" vertical="top" wrapText="1"/>
    </xf>
    <xf numFmtId="9" fontId="40" fillId="4" borderId="46" xfId="12" applyFont="1" applyFill="1" applyBorder="1" applyAlignment="1">
      <alignment horizontal="center" vertical="top" wrapText="1"/>
    </xf>
    <xf numFmtId="14" fontId="20" fillId="0" borderId="1" xfId="7" applyNumberFormat="1" applyFont="1" applyBorder="1" applyAlignment="1" applyProtection="1">
      <alignment horizontal="center" vertical="center" wrapText="1"/>
      <protection locked="0"/>
    </xf>
    <xf numFmtId="0" fontId="28" fillId="0" borderId="14" xfId="5" applyFont="1" applyBorder="1" applyAlignment="1" applyProtection="1">
      <alignment horizontal="left" vertical="center" wrapText="1" indent="1"/>
    </xf>
    <xf numFmtId="0" fontId="0" fillId="0" borderId="0" xfId="0" applyAlignment="1" applyProtection="1">
      <alignment horizontal="left" vertical="center" indent="1"/>
    </xf>
    <xf numFmtId="166" fontId="20" fillId="0" borderId="23" xfId="1" applyNumberFormat="1" applyFont="1" applyBorder="1" applyAlignment="1" applyProtection="1">
      <alignment horizontal="center" vertical="center" wrapText="1"/>
      <protection hidden="1"/>
    </xf>
    <xf numFmtId="166" fontId="0" fillId="3" borderId="0" xfId="0" applyNumberFormat="1" applyFill="1" applyBorder="1" applyAlignment="1" applyProtection="1">
      <alignment vertical="center"/>
    </xf>
    <xf numFmtId="44" fontId="9" fillId="0" borderId="0" xfId="7" applyNumberFormat="1" applyAlignment="1" applyProtection="1">
      <alignment vertical="center"/>
    </xf>
    <xf numFmtId="44" fontId="19" fillId="0" borderId="19" xfId="1" applyFont="1" applyFill="1" applyBorder="1" applyAlignment="1" applyProtection="1">
      <alignment horizontal="center" vertical="center" wrapText="1"/>
      <protection hidden="1"/>
    </xf>
    <xf numFmtId="44" fontId="0" fillId="0" borderId="0" xfId="1" applyFont="1" applyAlignment="1" applyProtection="1">
      <alignment vertical="center"/>
    </xf>
    <xf numFmtId="0" fontId="1" fillId="0" borderId="1" xfId="0" applyNumberFormat="1" applyFont="1" applyFill="1" applyBorder="1" applyAlignment="1">
      <alignment horizontal="center"/>
    </xf>
    <xf numFmtId="0" fontId="47" fillId="0" borderId="1" xfId="0" applyFont="1" applyFill="1" applyBorder="1" applyAlignment="1">
      <alignment vertical="top" wrapText="1"/>
    </xf>
    <xf numFmtId="44" fontId="1" fillId="0" borderId="1" xfId="0" applyNumberFormat="1" applyFont="1" applyFill="1" applyBorder="1" applyAlignment="1">
      <alignment horizontal="left" vertical="center"/>
    </xf>
    <xf numFmtId="43" fontId="0" fillId="0" borderId="0" xfId="0" applyNumberFormat="1" applyBorder="1"/>
    <xf numFmtId="44" fontId="0" fillId="0" borderId="0" xfId="1" applyFont="1" applyBorder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/>
    <xf numFmtId="44" fontId="1" fillId="0" borderId="1" xfId="1" applyFont="1" applyBorder="1"/>
    <xf numFmtId="44" fontId="3" fillId="0" borderId="1" xfId="1" applyFont="1" applyBorder="1"/>
    <xf numFmtId="0" fontId="3" fillId="5" borderId="1" xfId="0" quotePrefix="1" applyFont="1" applyFill="1" applyBorder="1"/>
    <xf numFmtId="0" fontId="3" fillId="0" borderId="1" xfId="0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wrapText="1"/>
    </xf>
    <xf numFmtId="44" fontId="1" fillId="0" borderId="1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left"/>
    </xf>
    <xf numFmtId="3" fontId="1" fillId="0" borderId="1" xfId="0" applyNumberFormat="1" applyFont="1" applyFill="1" applyBorder="1" applyAlignment="1">
      <alignment horizontal="center"/>
    </xf>
    <xf numFmtId="0" fontId="47" fillId="0" borderId="1" xfId="0" applyFont="1" applyBorder="1" applyAlignment="1">
      <alignment horizontal="center"/>
    </xf>
    <xf numFmtId="0" fontId="47" fillId="0" borderId="1" xfId="0" applyFont="1" applyBorder="1" applyAlignment="1">
      <alignment wrapText="1"/>
    </xf>
    <xf numFmtId="0" fontId="1" fillId="0" borderId="12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15" xfId="0" applyFont="1" applyBorder="1" applyAlignment="1">
      <alignment wrapText="1"/>
    </xf>
    <xf numFmtId="0" fontId="1" fillId="0" borderId="5" xfId="0" applyFont="1" applyFill="1" applyBorder="1" applyAlignment="1">
      <alignment horizontal="center"/>
    </xf>
    <xf numFmtId="2" fontId="1" fillId="0" borderId="12" xfId="0" applyNumberFormat="1" applyFont="1" applyFill="1" applyBorder="1" applyAlignment="1">
      <alignment horizontal="center"/>
    </xf>
    <xf numFmtId="44" fontId="1" fillId="0" borderId="12" xfId="1" applyFont="1" applyFill="1" applyBorder="1"/>
    <xf numFmtId="165" fontId="46" fillId="0" borderId="8" xfId="0" applyNumberFormat="1" applyFont="1" applyBorder="1" applyAlignment="1">
      <alignment horizontal="left"/>
    </xf>
    <xf numFmtId="2" fontId="46" fillId="0" borderId="13" xfId="0" applyNumberFormat="1" applyFont="1" applyBorder="1" applyAlignment="1">
      <alignment horizontal="center"/>
    </xf>
    <xf numFmtId="44" fontId="46" fillId="0" borderId="13" xfId="0" applyNumberFormat="1" applyFont="1" applyBorder="1" applyAlignment="1"/>
    <xf numFmtId="44" fontId="1" fillId="0" borderId="13" xfId="1" applyFont="1" applyFill="1" applyBorder="1"/>
    <xf numFmtId="165" fontId="13" fillId="0" borderId="1" xfId="0" applyNumberFormat="1" applyFont="1" applyBorder="1" applyAlignment="1">
      <alignment horizontal="right"/>
    </xf>
    <xf numFmtId="0" fontId="1" fillId="0" borderId="13" xfId="0" applyFont="1" applyBorder="1" applyAlignment="1">
      <alignment horizontal="center" vertical="center"/>
    </xf>
    <xf numFmtId="0" fontId="46" fillId="0" borderId="13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13" xfId="0" applyFont="1" applyFill="1" applyBorder="1"/>
    <xf numFmtId="0" fontId="3" fillId="0" borderId="1" xfId="0" applyFont="1" applyFill="1" applyBorder="1"/>
    <xf numFmtId="0" fontId="3" fillId="0" borderId="1" xfId="0" quotePrefix="1" applyFont="1" applyFill="1" applyBorder="1"/>
    <xf numFmtId="0" fontId="1" fillId="0" borderId="13" xfId="0" applyFont="1" applyBorder="1" applyAlignment="1">
      <alignment horizontal="center"/>
    </xf>
    <xf numFmtId="44" fontId="0" fillId="0" borderId="0" xfId="12" applyNumberFormat="1" applyFont="1"/>
    <xf numFmtId="2" fontId="46" fillId="2" borderId="11" xfId="0" applyNumberFormat="1" applyFont="1" applyFill="1" applyBorder="1" applyAlignment="1">
      <alignment horizontal="center"/>
    </xf>
    <xf numFmtId="44" fontId="46" fillId="2" borderId="10" xfId="0" applyNumberFormat="1" applyFont="1" applyFill="1" applyBorder="1" applyAlignment="1">
      <alignment horizontal="center"/>
    </xf>
    <xf numFmtId="44" fontId="46" fillId="2" borderId="11" xfId="0" applyNumberFormat="1" applyFont="1" applyFill="1" applyBorder="1" applyAlignment="1">
      <alignment horizontal="center"/>
    </xf>
    <xf numFmtId="0" fontId="47" fillId="0" borderId="1" xfId="0" applyFont="1" applyFill="1" applyBorder="1" applyAlignment="1">
      <alignment horizontal="center" vertical="center"/>
    </xf>
    <xf numFmtId="4" fontId="47" fillId="0" borderId="1" xfId="0" applyNumberFormat="1" applyFont="1" applyFill="1" applyBorder="1" applyAlignment="1">
      <alignment horizontal="center" vertical="center"/>
    </xf>
    <xf numFmtId="44" fontId="47" fillId="0" borderId="1" xfId="0" applyNumberFormat="1" applyFont="1" applyFill="1" applyBorder="1" applyAlignment="1">
      <alignment vertical="center"/>
    </xf>
    <xf numFmtId="44" fontId="1" fillId="0" borderId="1" xfId="0" applyNumberFormat="1" applyFont="1" applyFill="1" applyBorder="1" applyAlignment="1">
      <alignment vertical="center"/>
    </xf>
    <xf numFmtId="44" fontId="1" fillId="0" borderId="10" xfId="0" applyNumberFormat="1" applyFont="1" applyFill="1" applyBorder="1" applyAlignment="1">
      <alignment vertical="center"/>
    </xf>
    <xf numFmtId="0" fontId="37" fillId="2" borderId="6" xfId="13" applyFont="1" applyFill="1" applyBorder="1" applyAlignment="1">
      <alignment horizontal="left" vertical="top" wrapText="1"/>
    </xf>
    <xf numFmtId="44" fontId="1" fillId="0" borderId="1" xfId="1" applyFont="1" applyBorder="1" applyAlignment="1">
      <alignment horizontal="center"/>
    </xf>
    <xf numFmtId="0" fontId="1" fillId="0" borderId="11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top" wrapText="1"/>
    </xf>
    <xf numFmtId="0" fontId="47" fillId="0" borderId="11" xfId="0" applyFont="1" applyFill="1" applyBorder="1" applyAlignment="1">
      <alignment horizontal="center" vertical="center"/>
    </xf>
    <xf numFmtId="165" fontId="0" fillId="0" borderId="0" xfId="0" applyNumberFormat="1" applyFill="1"/>
    <xf numFmtId="0" fontId="50" fillId="0" borderId="0" xfId="0" applyFont="1" applyFill="1"/>
    <xf numFmtId="44" fontId="51" fillId="0" borderId="0" xfId="1" applyFont="1" applyFill="1"/>
    <xf numFmtId="0" fontId="11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right" wrapText="1"/>
    </xf>
    <xf numFmtId="0" fontId="44" fillId="0" borderId="12" xfId="0" applyFont="1" applyBorder="1" applyAlignment="1" applyProtection="1">
      <alignment vertical="center"/>
    </xf>
    <xf numFmtId="0" fontId="44" fillId="0" borderId="15" xfId="0" applyFont="1" applyBorder="1" applyAlignment="1" applyProtection="1">
      <alignment vertical="center"/>
    </xf>
    <xf numFmtId="0" fontId="44" fillId="0" borderId="13" xfId="0" applyFont="1" applyBorder="1" applyAlignment="1" applyProtection="1">
      <alignment vertical="center"/>
    </xf>
    <xf numFmtId="0" fontId="0" fillId="0" borderId="0" xfId="0" quotePrefix="1"/>
    <xf numFmtId="0" fontId="3" fillId="0" borderId="1" xfId="0" applyFont="1" applyBorder="1"/>
    <xf numFmtId="10" fontId="1" fillId="0" borderId="1" xfId="0" applyNumberFormat="1" applyFont="1" applyBorder="1" applyAlignment="1">
      <alignment horizontal="center"/>
    </xf>
    <xf numFmtId="9" fontId="52" fillId="0" borderId="1" xfId="12" applyNumberFormat="1" applyFont="1" applyBorder="1" applyAlignment="1">
      <alignment horizontal="center"/>
    </xf>
    <xf numFmtId="44" fontId="3" fillId="0" borderId="1" xfId="1" applyFont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44" fontId="3" fillId="2" borderId="1" xfId="1" applyFont="1" applyFill="1" applyBorder="1"/>
    <xf numFmtId="0" fontId="43" fillId="0" borderId="2" xfId="13" applyFont="1" applyFill="1" applyBorder="1" applyAlignment="1">
      <alignment horizontal="center" vertical="top" wrapText="1"/>
    </xf>
    <xf numFmtId="0" fontId="36" fillId="0" borderId="0" xfId="13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44" fontId="46" fillId="0" borderId="10" xfId="0" applyNumberFormat="1" applyFont="1" applyFill="1" applyBorder="1" applyAlignment="1">
      <alignment horizontal="center" wrapText="1"/>
    </xf>
    <xf numFmtId="44" fontId="46" fillId="0" borderId="11" xfId="0" applyNumberFormat="1" applyFont="1" applyFill="1" applyBorder="1" applyAlignment="1">
      <alignment horizontal="center" wrapText="1"/>
    </xf>
    <xf numFmtId="44" fontId="46" fillId="0" borderId="10" xfId="0" applyNumberFormat="1" applyFont="1" applyBorder="1" applyAlignment="1">
      <alignment horizontal="center" wrapText="1"/>
    </xf>
    <xf numFmtId="44" fontId="46" fillId="0" borderId="11" xfId="0" applyNumberFormat="1" applyFont="1" applyBorder="1" applyAlignment="1">
      <alignment horizontal="center" wrapText="1"/>
    </xf>
    <xf numFmtId="2" fontId="46" fillId="2" borderId="10" xfId="0" applyNumberFormat="1" applyFont="1" applyFill="1" applyBorder="1" applyAlignment="1">
      <alignment horizontal="center"/>
    </xf>
    <xf numFmtId="2" fontId="46" fillId="2" borderId="11" xfId="0" applyNumberFormat="1" applyFont="1" applyFill="1" applyBorder="1" applyAlignment="1">
      <alignment horizontal="center"/>
    </xf>
    <xf numFmtId="44" fontId="46" fillId="0" borderId="1" xfId="0" applyNumberFormat="1" applyFont="1" applyBorder="1" applyAlignment="1">
      <alignment horizontal="center" wrapText="1"/>
    </xf>
    <xf numFmtId="44" fontId="46" fillId="2" borderId="10" xfId="0" applyNumberFormat="1" applyFont="1" applyFill="1" applyBorder="1" applyAlignment="1">
      <alignment horizontal="center"/>
    </xf>
    <xf numFmtId="44" fontId="46" fillId="2" borderId="11" xfId="0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44" fontId="46" fillId="2" borderId="1" xfId="0" applyNumberFormat="1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44" fontId="1" fillId="0" borderId="10" xfId="1" applyFont="1" applyFill="1" applyBorder="1" applyAlignment="1">
      <alignment horizontal="center"/>
    </xf>
    <xf numFmtId="44" fontId="1" fillId="0" borderId="11" xfId="1" applyFont="1" applyFill="1" applyBorder="1" applyAlignment="1">
      <alignment horizontal="center"/>
    </xf>
    <xf numFmtId="44" fontId="1" fillId="0" borderId="10" xfId="1" applyFont="1" applyFill="1" applyBorder="1" applyAlignment="1">
      <alignment horizontal="center" wrapText="1"/>
    </xf>
    <xf numFmtId="44" fontId="1" fillId="0" borderId="11" xfId="1" applyFont="1" applyFill="1" applyBorder="1" applyAlignment="1">
      <alignment horizontal="center" wrapText="1"/>
    </xf>
    <xf numFmtId="44" fontId="1" fillId="2" borderId="10" xfId="1" applyFont="1" applyFill="1" applyBorder="1" applyAlignment="1">
      <alignment horizontal="center"/>
    </xf>
    <xf numFmtId="44" fontId="1" fillId="2" borderId="11" xfId="1" applyFont="1" applyFill="1" applyBorder="1" applyAlignment="1">
      <alignment horizontal="center"/>
    </xf>
    <xf numFmtId="0" fontId="1" fillId="0" borderId="10" xfId="1" applyNumberFormat="1" applyFont="1" applyFill="1" applyBorder="1" applyAlignment="1">
      <alignment horizontal="center" wrapText="1"/>
    </xf>
    <xf numFmtId="0" fontId="1" fillId="0" borderId="11" xfId="1" applyNumberFormat="1" applyFont="1" applyFill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2" fontId="1" fillId="0" borderId="10" xfId="1" applyNumberFormat="1" applyFont="1" applyFill="1" applyBorder="1" applyAlignment="1">
      <alignment horizontal="center" wrapText="1"/>
    </xf>
    <xf numFmtId="2" fontId="1" fillId="0" borderId="11" xfId="1" applyNumberFormat="1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44" fontId="1" fillId="0" borderId="1" xfId="1" applyFont="1" applyFill="1" applyBorder="1" applyAlignment="1">
      <alignment horizontal="center" wrapText="1"/>
    </xf>
    <xf numFmtId="0" fontId="45" fillId="2" borderId="1" xfId="13" applyFont="1" applyFill="1" applyBorder="1" applyAlignment="1">
      <alignment horizontal="center" vertical="center" wrapText="1"/>
    </xf>
    <xf numFmtId="0" fontId="38" fillId="2" borderId="31" xfId="13" applyFont="1" applyFill="1" applyBorder="1" applyAlignment="1">
      <alignment horizontal="center" vertical="center" wrapText="1"/>
    </xf>
    <xf numFmtId="0" fontId="38" fillId="2" borderId="34" xfId="13" applyFont="1" applyFill="1" applyBorder="1" applyAlignment="1">
      <alignment horizontal="center" vertical="center" wrapText="1"/>
    </xf>
    <xf numFmtId="0" fontId="38" fillId="2" borderId="36" xfId="13" applyFont="1" applyFill="1" applyBorder="1" applyAlignment="1">
      <alignment horizontal="left" vertical="center" wrapText="1" indent="1"/>
    </xf>
    <xf numFmtId="0" fontId="38" fillId="2" borderId="37" xfId="13" applyFont="1" applyFill="1" applyBorder="1" applyAlignment="1">
      <alignment horizontal="left" vertical="center" wrapText="1" indent="1"/>
    </xf>
    <xf numFmtId="0" fontId="38" fillId="2" borderId="1" xfId="13" applyFont="1" applyFill="1" applyBorder="1" applyAlignment="1">
      <alignment horizontal="left" vertical="center" wrapText="1" indent="1"/>
    </xf>
    <xf numFmtId="0" fontId="38" fillId="2" borderId="36" xfId="13" applyFont="1" applyFill="1" applyBorder="1" applyAlignment="1">
      <alignment horizontal="center" vertical="center" wrapText="1"/>
    </xf>
    <xf numFmtId="0" fontId="38" fillId="2" borderId="37" xfId="13" applyFont="1" applyFill="1" applyBorder="1" applyAlignment="1">
      <alignment horizontal="center" vertical="center" wrapText="1"/>
    </xf>
    <xf numFmtId="0" fontId="37" fillId="2" borderId="28" xfId="13" applyFont="1" applyFill="1" applyBorder="1" applyAlignment="1">
      <alignment horizontal="center" vertical="center" wrapText="1"/>
    </xf>
    <xf numFmtId="0" fontId="37" fillId="2" borderId="40" xfId="13" applyFont="1" applyFill="1" applyBorder="1" applyAlignment="1">
      <alignment horizontal="center" vertical="center" wrapText="1"/>
    </xf>
    <xf numFmtId="0" fontId="43" fillId="0" borderId="2" xfId="13" applyFont="1" applyFill="1" applyBorder="1" applyAlignment="1">
      <alignment horizontal="center" vertical="top" wrapText="1"/>
    </xf>
    <xf numFmtId="0" fontId="36" fillId="0" borderId="0" xfId="13" applyFont="1" applyFill="1" applyBorder="1" applyAlignment="1">
      <alignment horizontal="left" wrapText="1"/>
    </xf>
    <xf numFmtId="0" fontId="36" fillId="0" borderId="0" xfId="13" applyFont="1" applyFill="1" applyBorder="1" applyAlignment="1">
      <alignment horizontal="center" wrapText="1"/>
    </xf>
    <xf numFmtId="0" fontId="36" fillId="0" borderId="2" xfId="13" applyFont="1" applyFill="1" applyBorder="1" applyAlignment="1">
      <alignment horizontal="center" wrapText="1"/>
    </xf>
    <xf numFmtId="0" fontId="34" fillId="0" borderId="3" xfId="13" applyFont="1" applyFill="1" applyBorder="1" applyAlignment="1">
      <alignment horizontal="center"/>
    </xf>
    <xf numFmtId="0" fontId="34" fillId="0" borderId="4" xfId="13" applyFont="1" applyFill="1" applyBorder="1" applyAlignment="1">
      <alignment horizontal="center"/>
    </xf>
    <xf numFmtId="0" fontId="34" fillId="0" borderId="5" xfId="13" applyFont="1" applyFill="1" applyBorder="1" applyAlignment="1">
      <alignment horizontal="center"/>
    </xf>
    <xf numFmtId="0" fontId="34" fillId="0" borderId="6" xfId="13" applyFont="1" applyFill="1" applyBorder="1" applyAlignment="1">
      <alignment horizontal="center"/>
    </xf>
    <xf numFmtId="0" fontId="34" fillId="0" borderId="0" xfId="13" applyFont="1" applyFill="1" applyBorder="1" applyAlignment="1">
      <alignment horizontal="center"/>
    </xf>
    <xf numFmtId="0" fontId="34" fillId="0" borderId="7" xfId="13" applyFont="1" applyFill="1" applyBorder="1" applyAlignment="1">
      <alignment horizontal="center"/>
    </xf>
    <xf numFmtId="0" fontId="35" fillId="3" borderId="6" xfId="13" applyFont="1" applyFill="1" applyBorder="1" applyAlignment="1">
      <alignment horizontal="center" vertical="top" wrapText="1"/>
    </xf>
    <xf numFmtId="0" fontId="35" fillId="3" borderId="0" xfId="13" applyFont="1" applyFill="1" applyBorder="1" applyAlignment="1">
      <alignment horizontal="center" vertical="top" wrapText="1"/>
    </xf>
    <xf numFmtId="0" fontId="35" fillId="3" borderId="7" xfId="13" applyFont="1" applyFill="1" applyBorder="1" applyAlignment="1">
      <alignment horizontal="center" vertical="top" wrapText="1"/>
    </xf>
    <xf numFmtId="0" fontId="35" fillId="3" borderId="6" xfId="13" applyFont="1" applyFill="1" applyBorder="1" applyAlignment="1">
      <alignment horizontal="left" vertical="top" wrapText="1"/>
    </xf>
    <xf numFmtId="0" fontId="35" fillId="3" borderId="0" xfId="13" applyFont="1" applyFill="1" applyBorder="1" applyAlignment="1">
      <alignment horizontal="left" vertical="top" wrapText="1"/>
    </xf>
    <xf numFmtId="0" fontId="35" fillId="3" borderId="7" xfId="13" applyFont="1" applyFill="1" applyBorder="1" applyAlignment="1">
      <alignment horizontal="left" vertical="top" wrapText="1"/>
    </xf>
    <xf numFmtId="0" fontId="33" fillId="0" borderId="6" xfId="13" applyFill="1" applyBorder="1" applyAlignment="1">
      <alignment horizontal="center" vertical="top"/>
    </xf>
    <xf numFmtId="0" fontId="33" fillId="0" borderId="0" xfId="13" applyFill="1" applyBorder="1" applyAlignment="1">
      <alignment horizontal="center" vertical="top"/>
    </xf>
    <xf numFmtId="0" fontId="33" fillId="0" borderId="7" xfId="13" applyFill="1" applyBorder="1" applyAlignment="1">
      <alignment horizontal="center" vertical="top"/>
    </xf>
    <xf numFmtId="0" fontId="35" fillId="3" borderId="6" xfId="13" applyFont="1" applyFill="1" applyBorder="1" applyAlignment="1">
      <alignment horizontal="left" vertical="center" wrapText="1"/>
    </xf>
    <xf numFmtId="0" fontId="35" fillId="3" borderId="0" xfId="13" applyFont="1" applyFill="1" applyBorder="1" applyAlignment="1">
      <alignment horizontal="left" vertical="center" wrapText="1"/>
    </xf>
    <xf numFmtId="0" fontId="35" fillId="3" borderId="7" xfId="13" applyFont="1" applyFill="1" applyBorder="1" applyAlignment="1">
      <alignment horizontal="left" vertical="center" wrapText="1"/>
    </xf>
    <xf numFmtId="0" fontId="33" fillId="0" borderId="25" xfId="13" applyFill="1" applyBorder="1" applyAlignment="1">
      <alignment horizontal="center" vertical="top"/>
    </xf>
    <xf numFmtId="0" fontId="33" fillId="0" borderId="26" xfId="13" applyFill="1" applyBorder="1" applyAlignment="1">
      <alignment horizontal="center" vertical="top"/>
    </xf>
    <xf numFmtId="0" fontId="33" fillId="0" borderId="27" xfId="13" applyFill="1" applyBorder="1" applyAlignment="1">
      <alignment horizontal="center" vertical="top"/>
    </xf>
    <xf numFmtId="0" fontId="37" fillId="2" borderId="32" xfId="13" applyFont="1" applyFill="1" applyBorder="1" applyAlignment="1">
      <alignment horizontal="center" vertical="top" wrapText="1"/>
    </xf>
    <xf numFmtId="0" fontId="37" fillId="2" borderId="35" xfId="13" applyFont="1" applyFill="1" applyBorder="1" applyAlignment="1">
      <alignment horizontal="center" vertical="top" wrapText="1"/>
    </xf>
    <xf numFmtId="0" fontId="37" fillId="2" borderId="25" xfId="13" applyFont="1" applyFill="1" applyBorder="1" applyAlignment="1">
      <alignment horizontal="left" vertical="top" wrapText="1"/>
    </xf>
    <xf numFmtId="0" fontId="37" fillId="2" borderId="33" xfId="13" applyFont="1" applyFill="1" applyBorder="1" applyAlignment="1">
      <alignment horizontal="left" vertical="top" wrapText="1"/>
    </xf>
    <xf numFmtId="0" fontId="44" fillId="0" borderId="12" xfId="0" applyFont="1" applyBorder="1" applyAlignment="1" applyProtection="1">
      <alignment horizontal="center" vertical="center"/>
    </xf>
    <xf numFmtId="0" fontId="44" fillId="0" borderId="15" xfId="0" applyFont="1" applyBorder="1" applyAlignment="1" applyProtection="1">
      <alignment horizontal="center" vertical="center"/>
    </xf>
    <xf numFmtId="0" fontId="44" fillId="0" borderId="13" xfId="0" applyFont="1" applyBorder="1" applyAlignment="1" applyProtection="1">
      <alignment horizontal="center" vertical="center"/>
    </xf>
    <xf numFmtId="0" fontId="19" fillId="0" borderId="12" xfId="7" applyFont="1" applyBorder="1" applyAlignment="1" applyProtection="1">
      <alignment horizontal="center" vertical="center"/>
    </xf>
    <xf numFmtId="0" fontId="19" fillId="0" borderId="13" xfId="7" applyFont="1" applyBorder="1" applyAlignment="1" applyProtection="1">
      <alignment horizontal="center" vertical="center"/>
    </xf>
    <xf numFmtId="0" fontId="29" fillId="0" borderId="3" xfId="7" applyFont="1" applyBorder="1" applyAlignment="1" applyProtection="1">
      <alignment horizontal="center" vertical="center" wrapText="1"/>
      <protection locked="0"/>
    </xf>
    <xf numFmtId="0" fontId="29" fillId="0" borderId="5" xfId="7" applyFont="1" applyBorder="1" applyAlignment="1" applyProtection="1">
      <alignment horizontal="center" vertical="center" wrapText="1"/>
      <protection locked="0"/>
    </xf>
    <xf numFmtId="0" fontId="29" fillId="0" borderId="8" xfId="7" applyFont="1" applyBorder="1" applyAlignment="1" applyProtection="1">
      <alignment horizontal="center" vertical="center" wrapText="1"/>
      <protection locked="0"/>
    </xf>
    <xf numFmtId="0" fontId="29" fillId="0" borderId="9" xfId="7" applyFont="1" applyBorder="1" applyAlignment="1" applyProtection="1">
      <alignment horizontal="center" vertical="center" wrapText="1"/>
      <protection locked="0"/>
    </xf>
    <xf numFmtId="10" fontId="20" fillId="0" borderId="18" xfId="12" applyNumberFormat="1" applyFont="1" applyFill="1" applyBorder="1" applyAlignment="1" applyProtection="1">
      <alignment horizontal="center" vertical="center" wrapText="1"/>
      <protection hidden="1"/>
    </xf>
    <xf numFmtId="10" fontId="20" fillId="0" borderId="16" xfId="12" applyNumberFormat="1" applyFont="1" applyFill="1" applyBorder="1" applyAlignment="1" applyProtection="1">
      <alignment horizontal="center" vertical="center" wrapText="1"/>
      <protection hidden="1"/>
    </xf>
    <xf numFmtId="10" fontId="20" fillId="0" borderId="18" xfId="12" applyNumberFormat="1" applyFont="1" applyBorder="1" applyAlignment="1" applyProtection="1">
      <alignment horizontal="center" vertical="center" wrapText="1"/>
      <protection hidden="1"/>
    </xf>
    <xf numFmtId="10" fontId="20" fillId="0" borderId="16" xfId="12" applyNumberFormat="1" applyFont="1" applyBorder="1" applyAlignment="1" applyProtection="1">
      <alignment horizontal="center" vertical="center" wrapText="1"/>
      <protection hidden="1"/>
    </xf>
    <xf numFmtId="43" fontId="20" fillId="0" borderId="20" xfId="11" applyFont="1" applyBorder="1" applyAlignment="1" applyProtection="1">
      <alignment horizontal="center" vertical="center" wrapText="1"/>
      <protection locked="0"/>
    </xf>
    <xf numFmtId="43" fontId="20" fillId="0" borderId="21" xfId="11" applyFont="1" applyBorder="1" applyAlignment="1" applyProtection="1">
      <alignment horizontal="center" vertical="center" wrapText="1"/>
      <protection locked="0"/>
    </xf>
    <xf numFmtId="43" fontId="20" fillId="0" borderId="22" xfId="11" applyFont="1" applyBorder="1" applyAlignment="1" applyProtection="1">
      <alignment horizontal="center" vertical="center" wrapText="1"/>
      <protection locked="0"/>
    </xf>
    <xf numFmtId="0" fontId="16" fillId="0" borderId="0" xfId="7" applyFont="1" applyBorder="1" applyAlignment="1" applyProtection="1">
      <alignment horizontal="center" vertical="center" wrapText="1"/>
      <protection locked="0"/>
    </xf>
    <xf numFmtId="0" fontId="17" fillId="0" borderId="0" xfId="7" applyFont="1" applyBorder="1" applyAlignment="1" applyProtection="1">
      <alignment horizontal="center" vertical="center"/>
    </xf>
    <xf numFmtId="0" fontId="17" fillId="0" borderId="0" xfId="7" applyFont="1" applyAlignment="1" applyProtection="1">
      <alignment horizontal="center" vertical="center"/>
    </xf>
    <xf numFmtId="0" fontId="19" fillId="0" borderId="0" xfId="7" applyFont="1" applyBorder="1" applyAlignment="1" applyProtection="1">
      <alignment horizontal="center" vertical="center"/>
    </xf>
    <xf numFmtId="0" fontId="19" fillId="2" borderId="1" xfId="7" applyFont="1" applyFill="1" applyBorder="1" applyAlignment="1" applyProtection="1">
      <alignment horizontal="left" vertical="center"/>
    </xf>
    <xf numFmtId="49" fontId="21" fillId="0" borderId="1" xfId="7" applyNumberFormat="1" applyFont="1" applyBorder="1" applyAlignment="1" applyProtection="1">
      <alignment horizontal="left" vertical="center" wrapText="1" indent="1"/>
      <protection locked="0"/>
    </xf>
    <xf numFmtId="0" fontId="19" fillId="2" borderId="1" xfId="7" applyFont="1" applyFill="1" applyBorder="1" applyAlignment="1" applyProtection="1">
      <alignment horizontal="center" vertical="center" wrapText="1"/>
    </xf>
    <xf numFmtId="49" fontId="23" fillId="0" borderId="1" xfId="7" applyNumberFormat="1" applyFont="1" applyBorder="1" applyAlignment="1" applyProtection="1">
      <alignment horizontal="left" vertical="center" wrapText="1" indent="1"/>
      <protection locked="0"/>
    </xf>
    <xf numFmtId="0" fontId="19" fillId="0" borderId="1" xfId="7" applyFont="1" applyBorder="1" applyAlignment="1" applyProtection="1">
      <alignment horizontal="center" vertical="center" wrapText="1"/>
      <protection locked="0"/>
    </xf>
    <xf numFmtId="0" fontId="20" fillId="0" borderId="1" xfId="7" applyFont="1" applyBorder="1" applyAlignment="1" applyProtection="1">
      <alignment horizontal="center" vertical="center" wrapText="1"/>
      <protection locked="0"/>
    </xf>
    <xf numFmtId="49" fontId="20" fillId="0" borderId="1" xfId="7" applyNumberFormat="1" applyFont="1" applyBorder="1" applyAlignment="1" applyProtection="1">
      <alignment horizontal="left" vertical="center" wrapText="1" indent="1"/>
      <protection locked="0"/>
    </xf>
    <xf numFmtId="0" fontId="25" fillId="2" borderId="1" xfId="7" applyFont="1" applyFill="1" applyBorder="1" applyAlignment="1" applyProtection="1">
      <alignment horizontal="center" vertical="center" textRotation="90" wrapText="1"/>
    </xf>
    <xf numFmtId="0" fontId="19" fillId="0" borderId="1" xfId="7" applyFont="1" applyBorder="1" applyAlignment="1" applyProtection="1">
      <alignment horizontal="center" vertical="center" wrapText="1"/>
    </xf>
    <xf numFmtId="0" fontId="19" fillId="0" borderId="10" xfId="7" applyFont="1" applyBorder="1" applyAlignment="1" applyProtection="1">
      <alignment horizontal="center" vertical="center" wrapText="1"/>
    </xf>
    <xf numFmtId="0" fontId="20" fillId="0" borderId="14" xfId="7" applyFont="1" applyBorder="1" applyAlignment="1" applyProtection="1">
      <alignment horizontal="left" vertical="center" wrapText="1" indent="1"/>
    </xf>
    <xf numFmtId="0" fontId="20" fillId="0" borderId="11" xfId="7" applyFont="1" applyBorder="1" applyAlignment="1" applyProtection="1">
      <alignment horizontal="left" vertical="center" wrapText="1" indent="1"/>
    </xf>
    <xf numFmtId="49" fontId="20" fillId="0" borderId="1" xfId="7" applyNumberFormat="1" applyFont="1" applyBorder="1" applyAlignment="1" applyProtection="1">
      <alignment horizontal="left" vertical="center" wrapText="1"/>
      <protection locked="0"/>
    </xf>
    <xf numFmtId="0" fontId="19" fillId="0" borderId="10" xfId="5" applyFont="1" applyBorder="1" applyAlignment="1" applyProtection="1">
      <alignment horizontal="right" vertical="center" wrapText="1"/>
    </xf>
    <xf numFmtId="0" fontId="19" fillId="0" borderId="14" xfId="5" applyFont="1" applyBorder="1" applyAlignment="1" applyProtection="1">
      <alignment horizontal="right" vertical="center" wrapText="1"/>
    </xf>
    <xf numFmtId="0" fontId="19" fillId="0" borderId="14" xfId="5" applyFont="1" applyBorder="1" applyAlignment="1" applyProtection="1">
      <alignment horizontal="left" vertical="center" wrapText="1" indent="1"/>
    </xf>
    <xf numFmtId="0" fontId="19" fillId="0" borderId="11" xfId="5" applyFont="1" applyBorder="1" applyAlignment="1" applyProtection="1">
      <alignment horizontal="left" vertical="center" wrapText="1" indent="1"/>
    </xf>
    <xf numFmtId="0" fontId="20" fillId="0" borderId="14" xfId="7" applyFont="1" applyBorder="1" applyAlignment="1" applyProtection="1">
      <alignment horizontal="left" vertical="center" wrapText="1" indent="1"/>
      <protection hidden="1"/>
    </xf>
    <xf numFmtId="0" fontId="20" fillId="0" borderId="11" xfId="7" applyFont="1" applyBorder="1" applyAlignment="1" applyProtection="1">
      <alignment horizontal="left" vertical="center" wrapText="1" indent="1"/>
      <protection hidden="1"/>
    </xf>
    <xf numFmtId="0" fontId="19" fillId="2" borderId="1" xfId="7" applyFont="1" applyFill="1" applyBorder="1" applyAlignment="1" applyProtection="1">
      <alignment horizontal="center" vertical="center"/>
    </xf>
    <xf numFmtId="0" fontId="19" fillId="2" borderId="14" xfId="7" applyFont="1" applyFill="1" applyBorder="1" applyAlignment="1" applyProtection="1">
      <alignment horizontal="center" vertical="center"/>
    </xf>
    <xf numFmtId="0" fontId="19" fillId="2" borderId="11" xfId="7" applyFont="1" applyFill="1" applyBorder="1" applyAlignment="1" applyProtection="1">
      <alignment horizontal="center" vertical="center"/>
    </xf>
    <xf numFmtId="4" fontId="19" fillId="2" borderId="12" xfId="7" applyNumberFormat="1" applyFont="1" applyFill="1" applyBorder="1" applyAlignment="1" applyProtection="1">
      <alignment horizontal="center" vertical="center"/>
    </xf>
    <xf numFmtId="4" fontId="19" fillId="2" borderId="15" xfId="7" applyNumberFormat="1" applyFont="1" applyFill="1" applyBorder="1" applyAlignment="1" applyProtection="1">
      <alignment horizontal="center" vertical="center"/>
    </xf>
    <xf numFmtId="0" fontId="27" fillId="0" borderId="14" xfId="7" applyFont="1" applyBorder="1" applyAlignment="1" applyProtection="1">
      <alignment horizontal="center" vertical="center" wrapText="1"/>
    </xf>
    <xf numFmtId="0" fontId="27" fillId="0" borderId="11" xfId="7" applyFont="1" applyBorder="1" applyAlignment="1" applyProtection="1">
      <alignment horizontal="center" vertical="center" wrapText="1"/>
    </xf>
    <xf numFmtId="0" fontId="23" fillId="0" borderId="8" xfId="5" applyFont="1" applyBorder="1" applyAlignment="1" applyProtection="1">
      <alignment horizontal="left" vertical="center" wrapText="1" indent="1"/>
    </xf>
    <xf numFmtId="0" fontId="23" fillId="0" borderId="2" xfId="5" applyFont="1" applyBorder="1" applyAlignment="1" applyProtection="1">
      <alignment horizontal="left" vertical="center" wrapText="1" indent="1"/>
    </xf>
    <xf numFmtId="0" fontId="19" fillId="2" borderId="12" xfId="7" applyFont="1" applyFill="1" applyBorder="1" applyAlignment="1" applyProtection="1">
      <alignment horizontal="center" vertical="center" textRotation="90"/>
    </xf>
    <xf numFmtId="0" fontId="19" fillId="2" borderId="15" xfId="7" applyFont="1" applyFill="1" applyBorder="1" applyAlignment="1" applyProtection="1">
      <alignment horizontal="center" vertical="center" textRotation="90"/>
    </xf>
    <xf numFmtId="0" fontId="19" fillId="2" borderId="3" xfId="7" applyFont="1" applyFill="1" applyBorder="1" applyAlignment="1" applyProtection="1">
      <alignment horizontal="center" vertical="center"/>
    </xf>
    <xf numFmtId="0" fontId="19" fillId="2" borderId="5" xfId="7" applyFont="1" applyFill="1" applyBorder="1" applyAlignment="1" applyProtection="1">
      <alignment horizontal="center" vertical="center"/>
    </xf>
    <xf numFmtId="0" fontId="19" fillId="2" borderId="6" xfId="7" applyFont="1" applyFill="1" applyBorder="1" applyAlignment="1" applyProtection="1">
      <alignment horizontal="center" vertical="center"/>
    </xf>
    <xf numFmtId="0" fontId="19" fillId="2" borderId="7" xfId="7" applyFont="1" applyFill="1" applyBorder="1" applyAlignment="1" applyProtection="1">
      <alignment horizontal="center" vertical="center"/>
    </xf>
    <xf numFmtId="0" fontId="23" fillId="0" borderId="6" xfId="5" applyFont="1" applyBorder="1" applyAlignment="1" applyProtection="1">
      <alignment horizontal="left" vertical="center" wrapText="1" indent="1"/>
    </xf>
    <xf numFmtId="0" fontId="23" fillId="0" borderId="0" xfId="5" applyFont="1" applyBorder="1" applyAlignment="1" applyProtection="1">
      <alignment horizontal="left" vertical="center" wrapText="1" indent="1"/>
    </xf>
    <xf numFmtId="0" fontId="30" fillId="0" borderId="5" xfId="0" applyFont="1" applyBorder="1" applyAlignment="1">
      <alignment horizontal="center"/>
    </xf>
    <xf numFmtId="0" fontId="30" fillId="0" borderId="8" xfId="0" applyFont="1" applyBorder="1" applyAlignment="1">
      <alignment horizontal="center"/>
    </xf>
    <xf numFmtId="0" fontId="30" fillId="0" borderId="9" xfId="0" applyFont="1" applyBorder="1" applyAlignment="1">
      <alignment horizontal="center"/>
    </xf>
    <xf numFmtId="4" fontId="19" fillId="1" borderId="14" xfId="7" applyNumberFormat="1" applyFont="1" applyFill="1" applyBorder="1" applyAlignment="1" applyProtection="1">
      <alignment horizontal="center" vertical="center"/>
    </xf>
    <xf numFmtId="4" fontId="19" fillId="1" borderId="11" xfId="7" applyNumberFormat="1" applyFont="1" applyFill="1" applyBorder="1" applyAlignment="1" applyProtection="1">
      <alignment horizontal="center" vertical="center"/>
    </xf>
    <xf numFmtId="44" fontId="20" fillId="0" borderId="10" xfId="1" applyFont="1" applyBorder="1" applyAlignment="1" applyProtection="1">
      <alignment horizontal="center" vertical="center" wrapText="1"/>
      <protection hidden="1"/>
    </xf>
    <xf numFmtId="44" fontId="20" fillId="0" borderId="14" xfId="1" applyFont="1" applyBorder="1" applyAlignment="1" applyProtection="1">
      <alignment horizontal="center" vertical="center" wrapText="1"/>
      <protection hidden="1"/>
    </xf>
    <xf numFmtId="44" fontId="20" fillId="0" borderId="11" xfId="1" applyFont="1" applyBorder="1" applyAlignment="1" applyProtection="1">
      <alignment horizontal="center" vertical="center" wrapText="1"/>
      <protection hidden="1"/>
    </xf>
    <xf numFmtId="10" fontId="20" fillId="0" borderId="10" xfId="12" applyNumberFormat="1" applyFont="1" applyBorder="1" applyAlignment="1" applyProtection="1">
      <alignment horizontal="center" vertical="center" wrapText="1"/>
      <protection hidden="1"/>
    </xf>
    <xf numFmtId="10" fontId="20" fillId="0" borderId="14" xfId="12" applyNumberFormat="1" applyFont="1" applyBorder="1" applyAlignment="1" applyProtection="1">
      <alignment horizontal="center" vertical="center" wrapText="1"/>
      <protection hidden="1"/>
    </xf>
    <xf numFmtId="10" fontId="20" fillId="0" borderId="11" xfId="12" applyNumberFormat="1" applyFont="1" applyBorder="1" applyAlignment="1" applyProtection="1">
      <alignment horizontal="center" vertical="center" wrapText="1"/>
      <protection hidden="1"/>
    </xf>
    <xf numFmtId="0" fontId="31" fillId="0" borderId="0" xfId="7" applyFont="1" applyBorder="1" applyAlignment="1" applyProtection="1">
      <alignment horizontal="left" vertical="center" wrapText="1"/>
    </xf>
    <xf numFmtId="0" fontId="9" fillId="0" borderId="0" xfId="7" applyBorder="1" applyAlignment="1" applyProtection="1">
      <alignment horizontal="left" vertical="center"/>
    </xf>
    <xf numFmtId="0" fontId="6" fillId="0" borderId="49" xfId="7" applyFont="1" applyBorder="1" applyAlignment="1" applyProtection="1">
      <alignment horizontal="center" vertical="center" wrapText="1"/>
      <protection locked="0"/>
    </xf>
    <xf numFmtId="44" fontId="20" fillId="0" borderId="10" xfId="1" applyFont="1" applyBorder="1" applyAlignment="1" applyProtection="1">
      <alignment horizontal="center" vertical="center" wrapText="1"/>
      <protection locked="0"/>
    </xf>
    <xf numFmtId="44" fontId="20" fillId="0" borderId="14" xfId="1" applyFont="1" applyBorder="1" applyAlignment="1" applyProtection="1">
      <alignment horizontal="center" vertical="center" wrapText="1"/>
      <protection locked="0"/>
    </xf>
    <xf numFmtId="44" fontId="20" fillId="0" borderId="11" xfId="1" applyFont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44" fillId="0" borderId="1" xfId="0" applyFont="1" applyBorder="1" applyAlignment="1" applyProtection="1">
      <alignment horizontal="center" vertical="center"/>
    </xf>
    <xf numFmtId="0" fontId="19" fillId="2" borderId="1" xfId="7" applyFont="1" applyFill="1" applyBorder="1" applyAlignment="1" applyProtection="1">
      <alignment horizontal="left" vertical="center" wrapText="1"/>
    </xf>
    <xf numFmtId="4" fontId="19" fillId="1" borderId="10" xfId="7" applyNumberFormat="1" applyFont="1" applyFill="1" applyBorder="1" applyAlignment="1" applyProtection="1">
      <alignment horizontal="center" vertical="center"/>
    </xf>
  </cellXfs>
  <cellStyles count="15">
    <cellStyle name="Excel Built-in Explanatory Text" xfId="3"/>
    <cellStyle name="Moeda" xfId="1" builtinId="4"/>
    <cellStyle name="Moeda 2" xfId="6"/>
    <cellStyle name="Moeda 2 2" xfId="8"/>
    <cellStyle name="Moeda 2 2 2" xfId="10"/>
    <cellStyle name="Moeda 2 3" xfId="14"/>
    <cellStyle name="Normal" xfId="0" builtinId="0"/>
    <cellStyle name="Normal 2" xfId="2"/>
    <cellStyle name="Normal 2 2" xfId="7"/>
    <cellStyle name="Normal 2 2 2" xfId="9"/>
    <cellStyle name="Normal 2 3" xfId="13"/>
    <cellStyle name="Normal 3" xfId="5"/>
    <cellStyle name="Porcentagem" xfId="12" builtinId="5"/>
    <cellStyle name="Porcentagem 2" xfId="4"/>
    <cellStyle name="Separador de milhares" xfId="11" builtinId="3"/>
  </cellStyles>
  <dxfs count="127"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b/>
        <i val="0"/>
        <color rgb="FF7030A0"/>
      </font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3030711</xdr:colOff>
      <xdr:row>0</xdr:row>
      <xdr:rowOff>82602</xdr:rowOff>
    </xdr:from>
    <xdr:to>
      <xdr:col>3</xdr:col>
      <xdr:colOff>3712029</xdr:colOff>
      <xdr:row>6</xdr:row>
      <xdr:rowOff>51226</xdr:rowOff>
    </xdr:to>
    <xdr:pic>
      <xdr:nvPicPr>
        <xdr:cNvPr id="3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382025" y="82602"/>
          <a:ext cx="681318" cy="106039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3030711</xdr:colOff>
      <xdr:row>0</xdr:row>
      <xdr:rowOff>82602</xdr:rowOff>
    </xdr:from>
    <xdr:to>
      <xdr:col>3</xdr:col>
      <xdr:colOff>3712029</xdr:colOff>
      <xdr:row>5</xdr:row>
      <xdr:rowOff>163285</xdr:rowOff>
    </xdr:to>
    <xdr:pic>
      <xdr:nvPicPr>
        <xdr:cNvPr id="2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307186" y="82602"/>
          <a:ext cx="681318" cy="103318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301836</xdr:colOff>
      <xdr:row>1</xdr:row>
      <xdr:rowOff>146457</xdr:rowOff>
    </xdr:from>
    <xdr:to>
      <xdr:col>8</xdr:col>
      <xdr:colOff>999065</xdr:colOff>
      <xdr:row>6</xdr:row>
      <xdr:rowOff>3947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8705344" y="315449"/>
          <a:ext cx="697229" cy="7024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77</xdr:row>
      <xdr:rowOff>68035</xdr:rowOff>
    </xdr:from>
    <xdr:to>
      <xdr:col>18</xdr:col>
      <xdr:colOff>1357993</xdr:colOff>
      <xdr:row>86</xdr:row>
      <xdr:rowOff>70755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>
        <a:xfrm>
          <a:off x="609600" y="25442635"/>
          <a:ext cx="10578193" cy="186009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/>
            <a:t>OBSERVAÇÃO CONFORME: </a:t>
          </a:r>
        </a:p>
        <a:p>
          <a:endParaRPr lang="pt-BR" sz="11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Decreto n.º 66.173 de 27/10/2021 _ "a liberação dos recursos, considerando o valor total destes, observará o seguinte:</a:t>
          </a: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até R$ 500.000,00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(quinhentos mil reais), em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parcela única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;</a:t>
          </a: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entre R$ 500.000,00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(quinhentos mil reais)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R$1.000.000,00 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(um milhão de reais),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2 (duas) parcelas </a:t>
          </a:r>
          <a:r>
            <a:rPr lang="pt-BR" sz="1100" b="1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igualmente divididas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;</a:t>
          </a: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entre R$ 1.000.000,00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(hum milhão de reais)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 R$ 5.000.000,00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(cinco milhões de reais),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3 (três) parcelas, </a:t>
          </a:r>
          <a:r>
            <a:rPr lang="pt-BR" sz="1100" b="1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sendo a primeira de 30% (trinta por cento)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;</a:t>
          </a:r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acima de R$ 5.000.000,00 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(cinco milhões de reais),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parcelas sucessivas, conforme estipular o respectivo instrumento, </a:t>
          </a:r>
          <a:r>
            <a:rPr lang="pt-BR" sz="1100" b="1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sendo a primeira de 30% (trinta por cento)</a:t>
          </a:r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/>
            <a:t/>
          </a:r>
          <a:br>
            <a:rPr lang="pt-BR"/>
          </a:b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1</xdr:col>
      <xdr:colOff>99453</xdr:colOff>
      <xdr:row>0</xdr:row>
      <xdr:rowOff>42956</xdr:rowOff>
    </xdr:from>
    <xdr:to>
      <xdr:col>2</xdr:col>
      <xdr:colOff>571501</xdr:colOff>
      <xdr:row>4</xdr:row>
      <xdr:rowOff>90635</xdr:rowOff>
    </xdr:to>
    <xdr:pic>
      <xdr:nvPicPr>
        <xdr:cNvPr id="3" name="Imagem 2" descr="brasão oficial pp.jpg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09053" y="42956"/>
          <a:ext cx="881623" cy="11716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87"/>
  <sheetViews>
    <sheetView tabSelected="1" view="pageBreakPreview" topLeftCell="A241" zoomScale="85" zoomScaleNormal="120" zoomScaleSheetLayoutView="85" workbookViewId="0">
      <selection activeCell="G369" sqref="G369"/>
    </sheetView>
  </sheetViews>
  <sheetFormatPr defaultRowHeight="15"/>
  <cols>
    <col min="1" max="1" width="7.5703125" customWidth="1"/>
    <col min="2" max="3" width="13.28515625" customWidth="1"/>
    <col min="4" max="4" width="79.28515625" customWidth="1"/>
    <col min="6" max="6" width="11" customWidth="1"/>
    <col min="7" max="7" width="16.140625" customWidth="1"/>
    <col min="8" max="8" width="21" customWidth="1"/>
    <col min="9" max="9" width="20.28515625" customWidth="1"/>
    <col min="10" max="10" width="29.7109375" bestFit="1" customWidth="1"/>
    <col min="11" max="11" width="17" bestFit="1" customWidth="1"/>
    <col min="12" max="12" width="17.85546875" customWidth="1"/>
    <col min="13" max="13" width="16" bestFit="1" customWidth="1"/>
  </cols>
  <sheetData>
    <row r="1" spans="1:8" ht="9" customHeight="1">
      <c r="A1" s="284" t="s">
        <v>12</v>
      </c>
      <c r="B1" s="285"/>
      <c r="C1" s="285"/>
      <c r="D1" s="285"/>
      <c r="E1" s="285"/>
      <c r="F1" s="285"/>
      <c r="G1" s="285"/>
      <c r="H1" s="286"/>
    </row>
    <row r="2" spans="1:8" ht="15" customHeight="1">
      <c r="A2" s="287"/>
      <c r="B2" s="288"/>
      <c r="C2" s="288"/>
      <c r="D2" s="288"/>
      <c r="E2" s="288"/>
      <c r="F2" s="288"/>
      <c r="G2" s="288"/>
      <c r="H2" s="289"/>
    </row>
    <row r="3" spans="1:8" ht="15" customHeight="1">
      <c r="A3" s="287"/>
      <c r="B3" s="288"/>
      <c r="C3" s="288"/>
      <c r="D3" s="288"/>
      <c r="E3" s="288"/>
      <c r="F3" s="288"/>
      <c r="G3" s="288"/>
      <c r="H3" s="289"/>
    </row>
    <row r="4" spans="1:8" ht="15" customHeight="1">
      <c r="A4" s="287"/>
      <c r="B4" s="288"/>
      <c r="C4" s="288"/>
      <c r="D4" s="288"/>
      <c r="E4" s="288"/>
      <c r="F4" s="288"/>
      <c r="G4" s="288"/>
      <c r="H4" s="289"/>
    </row>
    <row r="5" spans="1:8" ht="15" customHeight="1">
      <c r="A5" s="287"/>
      <c r="B5" s="288"/>
      <c r="C5" s="288"/>
      <c r="D5" s="288"/>
      <c r="E5" s="288"/>
      <c r="F5" s="288"/>
      <c r="G5" s="288"/>
      <c r="H5" s="289"/>
    </row>
    <row r="6" spans="1:8" ht="15" customHeight="1">
      <c r="A6" s="287"/>
      <c r="B6" s="288"/>
      <c r="C6" s="288"/>
      <c r="D6" s="288"/>
      <c r="E6" s="288"/>
      <c r="F6" s="288"/>
      <c r="G6" s="288"/>
      <c r="H6" s="289"/>
    </row>
    <row r="7" spans="1:8" ht="15" customHeight="1">
      <c r="A7" s="287"/>
      <c r="B7" s="288"/>
      <c r="C7" s="288"/>
      <c r="D7" s="288"/>
      <c r="E7" s="288"/>
      <c r="F7" s="288"/>
      <c r="G7" s="288"/>
      <c r="H7" s="289"/>
    </row>
    <row r="8" spans="1:8" ht="15" customHeight="1">
      <c r="A8" s="293" t="s">
        <v>11</v>
      </c>
      <c r="B8" s="294"/>
      <c r="C8" s="294"/>
      <c r="D8" s="294"/>
      <c r="E8" s="294"/>
      <c r="F8" s="294"/>
      <c r="G8" s="294"/>
      <c r="H8" s="295"/>
    </row>
    <row r="9" spans="1:8" ht="6.75" customHeight="1">
      <c r="A9" s="33"/>
      <c r="B9" s="34"/>
      <c r="C9" s="34"/>
      <c r="D9" s="34"/>
      <c r="E9" s="34"/>
      <c r="F9" s="34"/>
      <c r="G9" s="34"/>
      <c r="H9" s="35"/>
    </row>
    <row r="10" spans="1:8" ht="15" customHeight="1">
      <c r="A10" s="290" t="s">
        <v>8</v>
      </c>
      <c r="B10" s="291"/>
      <c r="C10" s="291"/>
      <c r="D10" s="291"/>
      <c r="E10" s="291"/>
      <c r="F10" s="291"/>
      <c r="G10" s="291"/>
      <c r="H10" s="292"/>
    </row>
    <row r="11" spans="1:8" ht="6" customHeight="1">
      <c r="A11" s="4"/>
      <c r="B11" s="298"/>
      <c r="C11" s="298"/>
      <c r="D11" s="298"/>
      <c r="E11" s="298"/>
      <c r="F11" s="298"/>
      <c r="G11" s="298"/>
      <c r="H11" s="299"/>
    </row>
    <row r="12" spans="1:8" ht="15" customHeight="1">
      <c r="A12" s="300" t="s">
        <v>73</v>
      </c>
      <c r="B12" s="301"/>
      <c r="C12" s="301"/>
      <c r="D12" s="301"/>
      <c r="E12" s="301"/>
      <c r="F12" s="301"/>
      <c r="G12" s="301"/>
      <c r="H12" s="302"/>
    </row>
    <row r="13" spans="1:8" ht="15" customHeight="1">
      <c r="A13" s="300" t="s">
        <v>72</v>
      </c>
      <c r="B13" s="301"/>
      <c r="C13" s="301"/>
      <c r="D13" s="301"/>
      <c r="E13" s="301"/>
      <c r="F13" s="301"/>
      <c r="G13" s="301"/>
      <c r="H13" s="302"/>
    </row>
    <row r="14" spans="1:8" ht="15" customHeight="1">
      <c r="A14" s="303" t="s">
        <v>817</v>
      </c>
      <c r="B14" s="304"/>
      <c r="C14" s="304"/>
      <c r="D14" s="304"/>
      <c r="E14" s="296" t="s">
        <v>828</v>
      </c>
      <c r="F14" s="296"/>
      <c r="G14" s="296"/>
      <c r="H14" s="297"/>
    </row>
    <row r="15" spans="1:8" ht="25.5">
      <c r="A15" s="5" t="s">
        <v>0</v>
      </c>
      <c r="B15" s="6" t="s">
        <v>1</v>
      </c>
      <c r="C15" s="6" t="s">
        <v>2</v>
      </c>
      <c r="D15" s="5" t="s">
        <v>3</v>
      </c>
      <c r="E15" s="5" t="s">
        <v>4</v>
      </c>
      <c r="F15" s="5" t="s">
        <v>5</v>
      </c>
      <c r="G15" s="6" t="s">
        <v>6</v>
      </c>
      <c r="H15" s="6" t="s">
        <v>7</v>
      </c>
    </row>
    <row r="16" spans="1:8" ht="9" customHeight="1">
      <c r="A16" s="2"/>
      <c r="B16" s="2"/>
      <c r="C16" s="2"/>
      <c r="D16" s="2"/>
      <c r="E16" s="2"/>
      <c r="F16" s="2"/>
      <c r="G16" s="2"/>
      <c r="H16" s="2"/>
    </row>
    <row r="17" spans="1:10">
      <c r="A17" s="22" t="s">
        <v>31</v>
      </c>
      <c r="B17" s="3"/>
      <c r="C17" s="3"/>
      <c r="D17" s="7" t="s">
        <v>22</v>
      </c>
      <c r="E17" s="3"/>
      <c r="F17" s="3"/>
      <c r="G17" s="8"/>
      <c r="H17" s="8"/>
      <c r="I17" s="9"/>
    </row>
    <row r="18" spans="1:10">
      <c r="A18" s="22">
        <v>1</v>
      </c>
      <c r="B18" s="3"/>
      <c r="C18" s="3"/>
      <c r="D18" s="7" t="s">
        <v>32</v>
      </c>
      <c r="E18" s="3"/>
      <c r="F18" s="3"/>
      <c r="G18" s="8"/>
      <c r="H18" s="8"/>
      <c r="I18" s="9"/>
      <c r="J18" s="9"/>
    </row>
    <row r="19" spans="1:10">
      <c r="A19" s="11" t="s">
        <v>43</v>
      </c>
      <c r="B19" s="11" t="s">
        <v>820</v>
      </c>
      <c r="C19" s="14" t="s">
        <v>136</v>
      </c>
      <c r="D19" s="16" t="s">
        <v>137</v>
      </c>
      <c r="E19" s="11" t="s">
        <v>9</v>
      </c>
      <c r="F19" s="147">
        <f>4*1.5</f>
        <v>6</v>
      </c>
      <c r="G19" s="148"/>
      <c r="H19" s="148"/>
      <c r="I19" s="9"/>
    </row>
    <row r="20" spans="1:10">
      <c r="A20" s="11" t="s">
        <v>44</v>
      </c>
      <c r="B20" s="11" t="s">
        <v>820</v>
      </c>
      <c r="C20" s="11" t="s">
        <v>34</v>
      </c>
      <c r="D20" s="15" t="s">
        <v>33</v>
      </c>
      <c r="E20" s="11" t="s">
        <v>9</v>
      </c>
      <c r="F20" s="10">
        <f>((318.4+18.28)+(28.78+4.32+29.95+2.26+2.17+3.93+5.03+4.14+3.9+5.28+7.8+2.04+5.03+7.87)+85.86)+((4.47*5*2)+(3.07*5))+((2.88*8.54)+(4.54*1.5))+((2.1*18.46))+(2.56*(8.89+5.26+1))+(2.18*2.1)+(1.62*8.82)+(1.76*8.8)</f>
        <v>738.39959999999996</v>
      </c>
      <c r="G20" s="12"/>
      <c r="H20" s="148"/>
      <c r="I20" s="9"/>
    </row>
    <row r="21" spans="1:10" ht="43.5">
      <c r="A21" s="11" t="s">
        <v>45</v>
      </c>
      <c r="B21" s="11" t="s">
        <v>820</v>
      </c>
      <c r="C21" s="11" t="s">
        <v>35</v>
      </c>
      <c r="D21" s="15" t="s">
        <v>268</v>
      </c>
      <c r="E21" s="11" t="s">
        <v>10</v>
      </c>
      <c r="F21" s="10">
        <f>F20*0.01+(549.28*0.1)</f>
        <v>62.311995999999994</v>
      </c>
      <c r="G21" s="12"/>
      <c r="H21" s="148"/>
      <c r="I21" s="9"/>
    </row>
    <row r="22" spans="1:10">
      <c r="A22" s="11" t="s">
        <v>135</v>
      </c>
      <c r="B22" s="11" t="s">
        <v>820</v>
      </c>
      <c r="C22" s="11" t="s">
        <v>14</v>
      </c>
      <c r="D22" s="15" t="s">
        <v>13</v>
      </c>
      <c r="E22" s="11" t="s">
        <v>15</v>
      </c>
      <c r="F22" s="10">
        <v>1</v>
      </c>
      <c r="G22" s="12"/>
      <c r="H22" s="148"/>
      <c r="I22" s="9"/>
    </row>
    <row r="23" spans="1:10">
      <c r="A23" s="11"/>
      <c r="B23" s="14"/>
      <c r="C23" s="11"/>
      <c r="D23" s="46" t="s">
        <v>58</v>
      </c>
      <c r="E23" s="11"/>
      <c r="F23" s="10"/>
      <c r="G23" s="12"/>
      <c r="H23" s="17"/>
      <c r="I23" s="9"/>
    </row>
    <row r="24" spans="1:10">
      <c r="A24" s="22">
        <v>2</v>
      </c>
      <c r="B24" s="3"/>
      <c r="C24" s="3"/>
      <c r="D24" s="7" t="s">
        <v>141</v>
      </c>
      <c r="E24" s="3"/>
      <c r="F24" s="3"/>
      <c r="G24" s="8"/>
      <c r="H24" s="8"/>
      <c r="I24" s="9"/>
    </row>
    <row r="25" spans="1:10">
      <c r="A25" s="11" t="s">
        <v>63</v>
      </c>
      <c r="B25" s="11" t="s">
        <v>820</v>
      </c>
      <c r="C25" s="11" t="s">
        <v>39</v>
      </c>
      <c r="D25" s="15" t="s">
        <v>38</v>
      </c>
      <c r="E25" s="11" t="s">
        <v>9</v>
      </c>
      <c r="F25" s="10">
        <f>F20</f>
        <v>738.39959999999996</v>
      </c>
      <c r="G25" s="12"/>
      <c r="H25" s="12"/>
      <c r="I25" s="9"/>
    </row>
    <row r="26" spans="1:10">
      <c r="A26" s="11" t="s">
        <v>64</v>
      </c>
      <c r="B26" s="11" t="s">
        <v>820</v>
      </c>
      <c r="C26" s="11" t="s">
        <v>37</v>
      </c>
      <c r="D26" s="15" t="s">
        <v>36</v>
      </c>
      <c r="E26" s="11" t="s">
        <v>9</v>
      </c>
      <c r="F26" s="10">
        <f>F20</f>
        <v>738.39959999999996</v>
      </c>
      <c r="G26" s="12"/>
      <c r="H26" s="12"/>
      <c r="I26" s="9"/>
    </row>
    <row r="27" spans="1:10">
      <c r="A27" s="11" t="s">
        <v>146</v>
      </c>
      <c r="B27" s="11" t="s">
        <v>820</v>
      </c>
      <c r="C27" s="11" t="s">
        <v>149</v>
      </c>
      <c r="D27" s="15" t="s">
        <v>148</v>
      </c>
      <c r="E27" s="11" t="s">
        <v>150</v>
      </c>
      <c r="F27" s="10">
        <v>20.18</v>
      </c>
      <c r="G27" s="12"/>
      <c r="H27" s="12"/>
      <c r="I27" s="9"/>
    </row>
    <row r="28" spans="1:10" ht="29.25">
      <c r="A28" s="11" t="s">
        <v>147</v>
      </c>
      <c r="B28" s="11" t="s">
        <v>820</v>
      </c>
      <c r="C28" s="11" t="s">
        <v>145</v>
      </c>
      <c r="D28" s="15" t="s">
        <v>144</v>
      </c>
      <c r="E28" s="11" t="s">
        <v>150</v>
      </c>
      <c r="F28" s="10">
        <v>20.18</v>
      </c>
      <c r="G28" s="12"/>
      <c r="H28" s="12"/>
      <c r="I28" s="9"/>
    </row>
    <row r="29" spans="1:10" ht="28.5">
      <c r="A29" s="11" t="s">
        <v>311</v>
      </c>
      <c r="B29" s="11" t="s">
        <v>820</v>
      </c>
      <c r="C29" s="14" t="s">
        <v>402</v>
      </c>
      <c r="D29" s="209" t="s">
        <v>403</v>
      </c>
      <c r="E29" s="14" t="s">
        <v>15</v>
      </c>
      <c r="F29" s="147">
        <v>4</v>
      </c>
      <c r="G29" s="210"/>
      <c r="H29" s="12"/>
      <c r="I29" s="9"/>
    </row>
    <row r="30" spans="1:10">
      <c r="A30" s="11" t="s">
        <v>312</v>
      </c>
      <c r="B30" s="11" t="s">
        <v>820</v>
      </c>
      <c r="C30" s="14" t="s">
        <v>410</v>
      </c>
      <c r="D30" s="209" t="s">
        <v>409</v>
      </c>
      <c r="E30" s="14" t="s">
        <v>156</v>
      </c>
      <c r="F30" s="147">
        <v>4</v>
      </c>
      <c r="G30" s="210"/>
      <c r="H30" s="12"/>
      <c r="I30" s="9"/>
    </row>
    <row r="31" spans="1:10">
      <c r="A31" s="11"/>
      <c r="B31" s="14"/>
      <c r="C31" s="11"/>
      <c r="D31" s="46" t="s">
        <v>59</v>
      </c>
      <c r="E31" s="11"/>
      <c r="F31" s="10"/>
      <c r="G31" s="12"/>
      <c r="H31" s="17"/>
      <c r="I31" s="9"/>
    </row>
    <row r="32" spans="1:10">
      <c r="A32" s="22">
        <v>3</v>
      </c>
      <c r="B32" s="3"/>
      <c r="C32" s="3"/>
      <c r="D32" s="7" t="s">
        <v>55</v>
      </c>
      <c r="E32" s="3"/>
      <c r="F32" s="3"/>
      <c r="G32" s="8"/>
      <c r="H32" s="8"/>
      <c r="I32" s="9"/>
    </row>
    <row r="33" spans="1:12" ht="29.25">
      <c r="A33" s="11" t="s">
        <v>65</v>
      </c>
      <c r="B33" s="11" t="s">
        <v>820</v>
      </c>
      <c r="C33" s="11" t="s">
        <v>16</v>
      </c>
      <c r="D33" s="15" t="s">
        <v>56</v>
      </c>
      <c r="E33" s="11" t="s">
        <v>9</v>
      </c>
      <c r="F33" s="10">
        <f>F35+F34</f>
        <v>549.27700000000004</v>
      </c>
      <c r="G33" s="12"/>
      <c r="H33" s="12"/>
      <c r="I33" s="9"/>
      <c r="J33" s="9"/>
    </row>
    <row r="34" spans="1:12">
      <c r="A34" s="11" t="s">
        <v>66</v>
      </c>
      <c r="B34" s="11" t="s">
        <v>820</v>
      </c>
      <c r="C34" s="11" t="s">
        <v>18</v>
      </c>
      <c r="D34" s="15" t="s">
        <v>17</v>
      </c>
      <c r="E34" s="11" t="s">
        <v>9</v>
      </c>
      <c r="F34" s="10">
        <f>(26.3*1.9)+(20.84*1.9)+(30.99*2.9)</f>
        <v>179.43700000000001</v>
      </c>
      <c r="G34" s="12"/>
      <c r="H34" s="12"/>
      <c r="I34" s="9"/>
    </row>
    <row r="35" spans="1:12" ht="29.25">
      <c r="A35" s="11" t="s">
        <v>67</v>
      </c>
      <c r="B35" s="11" t="s">
        <v>820</v>
      </c>
      <c r="C35" s="11" t="s">
        <v>19</v>
      </c>
      <c r="D35" s="15" t="s">
        <v>62</v>
      </c>
      <c r="E35" s="11" t="s">
        <v>9</v>
      </c>
      <c r="F35" s="10">
        <f>396.75-26.91</f>
        <v>369.84</v>
      </c>
      <c r="G35" s="12"/>
      <c r="H35" s="12"/>
      <c r="I35" s="9"/>
      <c r="L35" s="23"/>
    </row>
    <row r="36" spans="1:12" ht="29.25">
      <c r="A36" s="11" t="s">
        <v>68</v>
      </c>
      <c r="B36" s="11" t="s">
        <v>820</v>
      </c>
      <c r="C36" s="11" t="s">
        <v>21</v>
      </c>
      <c r="D36" s="15" t="s">
        <v>20</v>
      </c>
      <c r="E36" s="11" t="s">
        <v>9</v>
      </c>
      <c r="F36" s="10">
        <f>396.75-26.91</f>
        <v>369.84</v>
      </c>
      <c r="G36" s="12"/>
      <c r="H36" s="12"/>
      <c r="I36" s="9"/>
    </row>
    <row r="37" spans="1:12">
      <c r="A37" s="11" t="s">
        <v>69</v>
      </c>
      <c r="B37" s="11" t="s">
        <v>820</v>
      </c>
      <c r="C37" s="11" t="s">
        <v>24</v>
      </c>
      <c r="D37" s="15" t="s">
        <v>23</v>
      </c>
      <c r="E37" s="11" t="s">
        <v>9</v>
      </c>
      <c r="F37" s="10">
        <f>2.4*2.1</f>
        <v>5.04</v>
      </c>
      <c r="G37" s="12"/>
      <c r="H37" s="12"/>
      <c r="I37" s="9"/>
      <c r="L37" s="23"/>
    </row>
    <row r="38" spans="1:12" ht="17.25" customHeight="1">
      <c r="A38" s="11"/>
      <c r="B38" s="14"/>
      <c r="C38" s="11"/>
      <c r="D38" s="46" t="s">
        <v>60</v>
      </c>
      <c r="E38" s="11"/>
      <c r="F38" s="10"/>
      <c r="G38" s="12"/>
      <c r="H38" s="17"/>
      <c r="I38" s="9"/>
      <c r="L38" s="23"/>
    </row>
    <row r="39" spans="1:12">
      <c r="A39" s="22">
        <v>4</v>
      </c>
      <c r="B39" s="3"/>
      <c r="C39" s="3"/>
      <c r="D39" s="7" t="s">
        <v>57</v>
      </c>
      <c r="E39" s="3"/>
      <c r="F39" s="3"/>
      <c r="G39" s="8"/>
      <c r="H39" s="8"/>
      <c r="I39" s="9"/>
      <c r="L39" s="23"/>
    </row>
    <row r="40" spans="1:12">
      <c r="A40" s="11" t="s">
        <v>50</v>
      </c>
      <c r="B40" s="11" t="s">
        <v>820</v>
      </c>
      <c r="C40" s="20" t="s">
        <v>198</v>
      </c>
      <c r="D40" s="149" t="s">
        <v>269</v>
      </c>
      <c r="E40" s="159" t="s">
        <v>9</v>
      </c>
      <c r="F40" s="159">
        <f>F43</f>
        <v>163.21000000000004</v>
      </c>
      <c r="G40" s="150"/>
      <c r="H40" s="12"/>
      <c r="I40" s="9"/>
      <c r="L40" s="23"/>
    </row>
    <row r="41" spans="1:12" ht="29.25">
      <c r="A41" s="11" t="s">
        <v>52</v>
      </c>
      <c r="B41" s="11" t="s">
        <v>820</v>
      </c>
      <c r="C41" s="11" t="s">
        <v>51</v>
      </c>
      <c r="D41" s="15" t="s">
        <v>152</v>
      </c>
      <c r="E41" s="11" t="s">
        <v>9</v>
      </c>
      <c r="F41" s="10">
        <f>(0.0628*(15+20.4+3.56+1+2.88+3.65+2.92))+(0.1*((6.6*2)+(2.56*2)+(3.4*2)+(3.74*2)+(2.26*2)))+F37</f>
        <v>11.854948</v>
      </c>
      <c r="G41" s="12"/>
      <c r="H41" s="12"/>
      <c r="I41" s="246"/>
      <c r="L41" s="23"/>
    </row>
    <row r="42" spans="1:12">
      <c r="A42" s="11" t="s">
        <v>70</v>
      </c>
      <c r="B42" s="11" t="s">
        <v>820</v>
      </c>
      <c r="C42" s="11" t="s">
        <v>53</v>
      </c>
      <c r="D42" s="15" t="s">
        <v>54</v>
      </c>
      <c r="E42" s="11" t="s">
        <v>9</v>
      </c>
      <c r="F42" s="10">
        <f>F41</f>
        <v>11.854948</v>
      </c>
      <c r="G42" s="12"/>
      <c r="H42" s="12"/>
      <c r="I42" s="9"/>
      <c r="L42" s="23"/>
    </row>
    <row r="43" spans="1:12">
      <c r="A43" s="11" t="s">
        <v>226</v>
      </c>
      <c r="B43" s="11" t="s">
        <v>820</v>
      </c>
      <c r="C43" s="11" t="s">
        <v>41</v>
      </c>
      <c r="D43" s="15" t="s">
        <v>40</v>
      </c>
      <c r="E43" s="11" t="s">
        <v>9</v>
      </c>
      <c r="F43" s="10">
        <f>51.89+5.37+7.44+4.36+5.28+2.04+17.06+6.08+5.4+6.68+7.82+4.42+15.25+3.9+18.92+0.94+0.36</f>
        <v>163.21000000000004</v>
      </c>
      <c r="G43" s="12"/>
      <c r="H43" s="12"/>
      <c r="I43" s="9"/>
      <c r="L43" s="23"/>
    </row>
    <row r="44" spans="1:12">
      <c r="A44" s="11"/>
      <c r="B44" s="14"/>
      <c r="C44" s="11"/>
      <c r="D44" s="46" t="s">
        <v>61</v>
      </c>
      <c r="E44" s="11"/>
      <c r="F44" s="10"/>
      <c r="G44" s="12"/>
      <c r="H44" s="17"/>
      <c r="I44" s="9"/>
      <c r="L44" s="23"/>
    </row>
    <row r="45" spans="1:12">
      <c r="A45" s="11"/>
      <c r="B45" s="14"/>
      <c r="C45" s="11"/>
      <c r="D45" s="47"/>
      <c r="E45" s="11"/>
      <c r="F45" s="10"/>
      <c r="G45" s="12"/>
      <c r="H45" s="12"/>
      <c r="I45" s="9"/>
      <c r="L45" s="23"/>
    </row>
    <row r="46" spans="1:12">
      <c r="A46" s="16"/>
      <c r="B46" s="14"/>
      <c r="C46" s="11"/>
      <c r="D46" s="37" t="s">
        <v>47</v>
      </c>
      <c r="E46" s="11"/>
      <c r="F46" s="38"/>
      <c r="G46" s="38"/>
      <c r="H46" s="17"/>
      <c r="I46" s="9"/>
    </row>
    <row r="47" spans="1:12">
      <c r="A47" s="22" t="s">
        <v>46</v>
      </c>
      <c r="B47" s="3"/>
      <c r="C47" s="26"/>
      <c r="D47" s="27" t="s">
        <v>25</v>
      </c>
      <c r="E47" s="3"/>
      <c r="F47" s="3"/>
      <c r="G47" s="8"/>
      <c r="H47" s="8"/>
      <c r="I47" s="9"/>
    </row>
    <row r="48" spans="1:12">
      <c r="A48" s="22">
        <v>1</v>
      </c>
      <c r="B48" s="3"/>
      <c r="C48" s="26"/>
      <c r="D48" s="27" t="s">
        <v>71</v>
      </c>
      <c r="E48" s="36"/>
      <c r="F48" s="3"/>
      <c r="G48" s="8"/>
      <c r="H48" s="8"/>
      <c r="I48" s="9"/>
      <c r="J48" s="9"/>
    </row>
    <row r="49" spans="1:12">
      <c r="A49" s="11" t="s">
        <v>43</v>
      </c>
      <c r="B49" s="11" t="s">
        <v>820</v>
      </c>
      <c r="C49" s="30" t="s">
        <v>143</v>
      </c>
      <c r="D49" s="31" t="s">
        <v>142</v>
      </c>
      <c r="E49" s="25" t="s">
        <v>9</v>
      </c>
      <c r="F49" s="10">
        <f>(8.9+35.08+47.42+81+53.27+76.42+45.07+20.1+26.36+39.09+61+50.82+40.1+43.4+10.8+38.66+54.24+23.55+39.1+40.71+11.43+16.68+30.55+37.6+16.7+20.99+39.96+27.16+50.02+85.14+51.95+6.17+31.25+49.2+26.72)*8</f>
        <v>10692.880000000003</v>
      </c>
      <c r="G49" s="12"/>
      <c r="H49" s="12"/>
      <c r="I49" s="9"/>
    </row>
    <row r="50" spans="1:12">
      <c r="A50" s="11" t="s">
        <v>44</v>
      </c>
      <c r="B50" s="11" t="s">
        <v>820</v>
      </c>
      <c r="C50" s="30" t="s">
        <v>30</v>
      </c>
      <c r="D50" s="31" t="s">
        <v>29</v>
      </c>
      <c r="E50" s="25" t="s">
        <v>9</v>
      </c>
      <c r="F50" s="10">
        <f>F49</f>
        <v>10692.880000000003</v>
      </c>
      <c r="G50" s="12"/>
      <c r="H50" s="12"/>
      <c r="I50" s="9"/>
    </row>
    <row r="51" spans="1:12">
      <c r="A51" s="11" t="s">
        <v>45</v>
      </c>
      <c r="B51" s="11" t="s">
        <v>820</v>
      </c>
      <c r="C51" s="28" t="s">
        <v>27</v>
      </c>
      <c r="D51" s="29" t="s">
        <v>28</v>
      </c>
      <c r="E51" s="11" t="s">
        <v>10</v>
      </c>
      <c r="F51" s="10">
        <f>F50*0.03</f>
        <v>320.78640000000007</v>
      </c>
      <c r="G51" s="12"/>
      <c r="H51" s="12"/>
      <c r="I51" s="9"/>
      <c r="J51" s="9"/>
    </row>
    <row r="52" spans="1:12" ht="29.25">
      <c r="A52" s="11" t="s">
        <v>135</v>
      </c>
      <c r="B52" s="11" t="s">
        <v>820</v>
      </c>
      <c r="C52" s="20" t="s">
        <v>26</v>
      </c>
      <c r="D52" s="21" t="s">
        <v>74</v>
      </c>
      <c r="E52" s="11" t="s">
        <v>9</v>
      </c>
      <c r="F52" s="10">
        <f>(40.5+38.2+60.4+44.4+34.9+23+46.6+30+23.6+32.2+48.4+57.4+30.1+40.8+28.1+50.1+33.4+48.7+21.4+18.7)*0.6+(26.24+65.73+30.67+55.57+42.38+27.97)*0.6+((35.08+47.42+81+53.27+76.42+43.16+20.84+26.2+40.5+62.43+50.26+40.2+43.4+10.8+38.4+54.3+25.5+39.3+40.71+11.43+16.68+30.55+37.6+16.8+20.99+8.9+37.7+28.54+50.22+85.14+51.95+7.3+30.3+47.3+26.02)*0.2*2)</f>
        <v>1134.3200000000002</v>
      </c>
      <c r="G52" s="12"/>
      <c r="H52" s="12"/>
      <c r="I52" s="9"/>
      <c r="J52" s="9"/>
    </row>
    <row r="53" spans="1:12" ht="43.5">
      <c r="A53" s="11" t="s">
        <v>174</v>
      </c>
      <c r="B53" s="11" t="s">
        <v>820</v>
      </c>
      <c r="C53" s="20" t="s">
        <v>275</v>
      </c>
      <c r="D53" s="180" t="s">
        <v>335</v>
      </c>
      <c r="E53" s="11" t="s">
        <v>9</v>
      </c>
      <c r="F53" s="10">
        <f>50*0.6+(248.56*0.6)</f>
        <v>179.136</v>
      </c>
      <c r="G53" s="12"/>
      <c r="H53" s="12"/>
      <c r="I53" s="9"/>
      <c r="J53" s="9"/>
      <c r="L53" s="9"/>
    </row>
    <row r="54" spans="1:12" ht="29.25">
      <c r="A54" s="11" t="s">
        <v>175</v>
      </c>
      <c r="B54" s="11" t="s">
        <v>820</v>
      </c>
      <c r="C54" s="20" t="s">
        <v>276</v>
      </c>
      <c r="D54" s="180" t="s">
        <v>339</v>
      </c>
      <c r="E54" s="11" t="s">
        <v>10</v>
      </c>
      <c r="F54" s="10">
        <f>((50*0.6)*0.12)+((26.24+65.73+30.67+55.57+42.38+27.97)*0.6*0.1)</f>
        <v>18.5136</v>
      </c>
      <c r="G54" s="12"/>
      <c r="H54" s="12"/>
      <c r="I54" s="9"/>
      <c r="J54" s="9"/>
      <c r="L54" s="9"/>
    </row>
    <row r="55" spans="1:12" ht="42.75">
      <c r="A55" s="11" t="s">
        <v>176</v>
      </c>
      <c r="B55" s="11" t="s">
        <v>820</v>
      </c>
      <c r="C55" s="169" t="s">
        <v>19</v>
      </c>
      <c r="D55" s="181" t="s">
        <v>340</v>
      </c>
      <c r="E55" s="14" t="s">
        <v>9</v>
      </c>
      <c r="F55" s="182">
        <f>F53</f>
        <v>179.136</v>
      </c>
      <c r="G55" s="183"/>
      <c r="H55" s="12"/>
      <c r="I55" s="9"/>
      <c r="J55" s="9"/>
      <c r="L55" s="9"/>
    </row>
    <row r="56" spans="1:12">
      <c r="A56" s="11" t="s">
        <v>177</v>
      </c>
      <c r="B56" s="11" t="s">
        <v>820</v>
      </c>
      <c r="C56" s="20" t="s">
        <v>305</v>
      </c>
      <c r="D56" s="180" t="s">
        <v>336</v>
      </c>
      <c r="E56" s="11" t="s">
        <v>10</v>
      </c>
      <c r="F56" s="10">
        <f>(248.56*0.6*0.08)</f>
        <v>11.93088</v>
      </c>
      <c r="G56" s="12"/>
      <c r="H56" s="12"/>
      <c r="J56" s="9"/>
      <c r="L56" s="9"/>
    </row>
    <row r="57" spans="1:12" ht="29.25">
      <c r="A57" s="11" t="s">
        <v>178</v>
      </c>
      <c r="B57" s="11" t="s">
        <v>820</v>
      </c>
      <c r="C57" s="11" t="s">
        <v>306</v>
      </c>
      <c r="D57" s="15" t="s">
        <v>308</v>
      </c>
      <c r="E57" s="11" t="s">
        <v>10</v>
      </c>
      <c r="F57" s="175">
        <f>F56</f>
        <v>11.93088</v>
      </c>
      <c r="G57" s="150"/>
      <c r="H57" s="12"/>
      <c r="I57" s="9"/>
      <c r="J57" s="9"/>
      <c r="L57" s="9"/>
    </row>
    <row r="58" spans="1:12" ht="29.25">
      <c r="A58" s="11" t="s">
        <v>179</v>
      </c>
      <c r="B58" s="11" t="s">
        <v>820</v>
      </c>
      <c r="C58" s="20" t="s">
        <v>338</v>
      </c>
      <c r="D58" s="180" t="s">
        <v>337</v>
      </c>
      <c r="E58" s="11" t="s">
        <v>9</v>
      </c>
      <c r="F58" s="10">
        <f>(26.24+65.73+30.67+55.57+42.38+27.97)*0.1</f>
        <v>24.856000000000002</v>
      </c>
      <c r="G58" s="12"/>
      <c r="H58" s="12"/>
      <c r="I58" s="9"/>
      <c r="J58" s="9"/>
      <c r="L58" s="9"/>
    </row>
    <row r="59" spans="1:12" ht="28.5">
      <c r="A59" s="11" t="s">
        <v>180</v>
      </c>
      <c r="B59" s="11" t="s">
        <v>820</v>
      </c>
      <c r="C59" s="169" t="s">
        <v>19</v>
      </c>
      <c r="D59" s="181" t="s">
        <v>277</v>
      </c>
      <c r="E59" s="14" t="s">
        <v>9</v>
      </c>
      <c r="F59" s="182">
        <f>F53</f>
        <v>179.136</v>
      </c>
      <c r="G59" s="183"/>
      <c r="H59" s="12"/>
      <c r="I59" s="9"/>
      <c r="J59" s="9"/>
    </row>
    <row r="60" spans="1:12" ht="29.25">
      <c r="A60" s="11" t="s">
        <v>181</v>
      </c>
      <c r="B60" s="11" t="s">
        <v>820</v>
      </c>
      <c r="C60" s="20" t="s">
        <v>278</v>
      </c>
      <c r="D60" s="180" t="s">
        <v>284</v>
      </c>
      <c r="E60" s="14" t="s">
        <v>10</v>
      </c>
      <c r="F60" s="10">
        <f>4.9*0.4*0.18+(2*0.4*0.18)</f>
        <v>0.49680000000000002</v>
      </c>
      <c r="G60" s="12"/>
      <c r="H60" s="12"/>
      <c r="I60" s="9"/>
      <c r="J60" s="9"/>
    </row>
    <row r="61" spans="1:12">
      <c r="A61" s="11" t="s">
        <v>182</v>
      </c>
      <c r="B61" s="11" t="s">
        <v>820</v>
      </c>
      <c r="C61" s="20" t="s">
        <v>292</v>
      </c>
      <c r="D61" s="180" t="s">
        <v>291</v>
      </c>
      <c r="E61" s="14" t="s">
        <v>293</v>
      </c>
      <c r="F61" s="10">
        <f>12*0.56</f>
        <v>6.7200000000000006</v>
      </c>
      <c r="G61" s="12"/>
      <c r="H61" s="12"/>
      <c r="I61" s="9"/>
      <c r="J61" s="9"/>
    </row>
    <row r="62" spans="1:12">
      <c r="A62" s="11" t="s">
        <v>183</v>
      </c>
      <c r="B62" s="11" t="s">
        <v>820</v>
      </c>
      <c r="C62" s="20" t="s">
        <v>279</v>
      </c>
      <c r="D62" s="180" t="s">
        <v>285</v>
      </c>
      <c r="E62" s="14" t="s">
        <v>9</v>
      </c>
      <c r="F62" s="10">
        <f>4.9*0.4+2*0.4</f>
        <v>2.7600000000000002</v>
      </c>
      <c r="G62" s="12"/>
      <c r="H62" s="12"/>
      <c r="I62" s="9"/>
      <c r="J62" s="9"/>
    </row>
    <row r="63" spans="1:12">
      <c r="A63" s="11" t="s">
        <v>184</v>
      </c>
      <c r="B63" s="11" t="s">
        <v>820</v>
      </c>
      <c r="C63" s="20" t="s">
        <v>280</v>
      </c>
      <c r="D63" s="180" t="s">
        <v>286</v>
      </c>
      <c r="E63" s="14" t="s">
        <v>9</v>
      </c>
      <c r="F63" s="10">
        <f>F62*2</f>
        <v>5.5200000000000005</v>
      </c>
      <c r="G63" s="12"/>
      <c r="H63" s="12"/>
      <c r="I63" s="9"/>
      <c r="J63" s="9"/>
    </row>
    <row r="64" spans="1:12">
      <c r="A64" s="11" t="s">
        <v>188</v>
      </c>
      <c r="B64" s="11" t="s">
        <v>820</v>
      </c>
      <c r="C64" s="20" t="s">
        <v>281</v>
      </c>
      <c r="D64" s="180" t="s">
        <v>287</v>
      </c>
      <c r="E64" s="14" t="s">
        <v>9</v>
      </c>
      <c r="F64" s="10">
        <f>F63</f>
        <v>5.5200000000000005</v>
      </c>
      <c r="G64" s="12"/>
      <c r="H64" s="12"/>
      <c r="I64" s="9"/>
      <c r="J64" s="9"/>
    </row>
    <row r="65" spans="1:10" ht="29.25">
      <c r="A65" s="11" t="s">
        <v>189</v>
      </c>
      <c r="B65" s="11" t="s">
        <v>820</v>
      </c>
      <c r="C65" s="20" t="s">
        <v>282</v>
      </c>
      <c r="D65" s="180" t="s">
        <v>295</v>
      </c>
      <c r="E65" s="14" t="s">
        <v>9</v>
      </c>
      <c r="F65" s="10">
        <f>50*0.5</f>
        <v>25</v>
      </c>
      <c r="G65" s="12"/>
      <c r="H65" s="12"/>
      <c r="I65" s="9"/>
      <c r="J65" s="9"/>
    </row>
    <row r="66" spans="1:10">
      <c r="A66" s="11" t="s">
        <v>190</v>
      </c>
      <c r="B66" s="11" t="s">
        <v>820</v>
      </c>
      <c r="C66" s="20" t="s">
        <v>283</v>
      </c>
      <c r="D66" s="180" t="s">
        <v>288</v>
      </c>
      <c r="E66" s="14" t="s">
        <v>10</v>
      </c>
      <c r="F66" s="10">
        <f>50*0.1*0.1</f>
        <v>0.5</v>
      </c>
      <c r="G66" s="12"/>
      <c r="H66" s="12"/>
      <c r="I66" s="9"/>
      <c r="J66" s="9"/>
    </row>
    <row r="67" spans="1:10" ht="29.25">
      <c r="A67" s="11" t="s">
        <v>349</v>
      </c>
      <c r="B67" s="11" t="s">
        <v>820</v>
      </c>
      <c r="C67" s="20" t="s">
        <v>289</v>
      </c>
      <c r="D67" s="180" t="s">
        <v>297</v>
      </c>
      <c r="E67" s="14" t="s">
        <v>10</v>
      </c>
      <c r="F67" s="10">
        <f>50*0.1</f>
        <v>5</v>
      </c>
      <c r="G67" s="12"/>
      <c r="H67" s="12"/>
      <c r="I67" s="9"/>
      <c r="J67" s="9"/>
    </row>
    <row r="68" spans="1:10">
      <c r="A68" s="11" t="s">
        <v>350</v>
      </c>
      <c r="B68" s="11" t="s">
        <v>820</v>
      </c>
      <c r="C68" s="20" t="s">
        <v>290</v>
      </c>
      <c r="D68" s="180" t="s">
        <v>296</v>
      </c>
      <c r="E68" s="14" t="s">
        <v>10</v>
      </c>
      <c r="F68" s="10">
        <f>50*0.1*0.2</f>
        <v>1</v>
      </c>
      <c r="G68" s="12"/>
      <c r="H68" s="12"/>
      <c r="I68" s="9"/>
      <c r="J68" s="9"/>
    </row>
    <row r="69" spans="1:10">
      <c r="A69" s="11" t="s">
        <v>351</v>
      </c>
      <c r="B69" s="11" t="s">
        <v>820</v>
      </c>
      <c r="C69" s="20" t="s">
        <v>41</v>
      </c>
      <c r="D69" s="149" t="s">
        <v>294</v>
      </c>
      <c r="E69" s="159" t="s">
        <v>9</v>
      </c>
      <c r="F69" s="175">
        <f>(20+4.25)*0.7*2*2</f>
        <v>67.899999999999991</v>
      </c>
      <c r="G69" s="150"/>
      <c r="H69" s="12"/>
      <c r="I69" s="9"/>
      <c r="J69" s="9"/>
    </row>
    <row r="70" spans="1:10">
      <c r="A70" s="11"/>
      <c r="B70" s="14"/>
      <c r="C70" s="20"/>
      <c r="D70" s="37" t="s">
        <v>58</v>
      </c>
      <c r="E70" s="159"/>
      <c r="F70" s="159"/>
      <c r="G70" s="150"/>
      <c r="H70" s="17"/>
      <c r="I70" s="9">
        <f>H70*1.25</f>
        <v>0</v>
      </c>
      <c r="J70" s="9"/>
    </row>
    <row r="71" spans="1:10">
      <c r="A71" s="22">
        <v>2</v>
      </c>
      <c r="B71" s="3"/>
      <c r="C71" s="3"/>
      <c r="D71" s="7" t="s">
        <v>792</v>
      </c>
      <c r="E71" s="3"/>
      <c r="F71" s="3"/>
      <c r="G71" s="8"/>
      <c r="H71" s="8"/>
      <c r="I71" s="9"/>
      <c r="J71" s="9"/>
    </row>
    <row r="72" spans="1:10" s="13" customFormat="1">
      <c r="A72" s="11" t="s">
        <v>63</v>
      </c>
      <c r="B72" s="14" t="s">
        <v>368</v>
      </c>
      <c r="C72" s="208" t="s">
        <v>369</v>
      </c>
      <c r="D72" s="174" t="s">
        <v>367</v>
      </c>
      <c r="E72" s="11" t="s">
        <v>150</v>
      </c>
      <c r="F72" s="10">
        <f>(90+39+39+33+33+33+47.07)+5.93</f>
        <v>320</v>
      </c>
      <c r="G72" s="172"/>
      <c r="H72" s="12"/>
      <c r="I72" s="32"/>
      <c r="J72" s="32"/>
    </row>
    <row r="73" spans="1:10" s="13" customFormat="1" ht="34.5" customHeight="1">
      <c r="A73" s="11" t="s">
        <v>64</v>
      </c>
      <c r="B73" s="14" t="s">
        <v>333</v>
      </c>
      <c r="C73" s="11">
        <v>5033</v>
      </c>
      <c r="D73" s="160" t="s">
        <v>332</v>
      </c>
      <c r="E73" s="11" t="s">
        <v>156</v>
      </c>
      <c r="F73" s="10">
        <v>7</v>
      </c>
      <c r="G73" s="150"/>
      <c r="H73" s="12"/>
      <c r="I73" s="32"/>
      <c r="J73" s="32"/>
    </row>
    <row r="74" spans="1:10" s="13" customFormat="1" ht="57.75">
      <c r="A74" s="11" t="s">
        <v>146</v>
      </c>
      <c r="B74" s="14" t="s">
        <v>333</v>
      </c>
      <c r="C74" s="11">
        <v>100578</v>
      </c>
      <c r="D74" s="160" t="s">
        <v>334</v>
      </c>
      <c r="E74" s="11" t="s">
        <v>156</v>
      </c>
      <c r="F74" s="10">
        <v>7</v>
      </c>
      <c r="G74" s="150"/>
      <c r="H74" s="12"/>
      <c r="I74" s="32"/>
      <c r="J74" s="32"/>
    </row>
    <row r="75" spans="1:10" s="13" customFormat="1" ht="29.25">
      <c r="A75" s="11" t="s">
        <v>147</v>
      </c>
      <c r="B75" s="11" t="s">
        <v>820</v>
      </c>
      <c r="C75" s="156" t="s">
        <v>386</v>
      </c>
      <c r="D75" s="186" t="s">
        <v>400</v>
      </c>
      <c r="E75" s="30" t="s">
        <v>156</v>
      </c>
      <c r="F75" s="147">
        <v>8</v>
      </c>
      <c r="G75" s="12"/>
      <c r="H75" s="12"/>
      <c r="I75" s="32"/>
      <c r="J75" s="32"/>
    </row>
    <row r="76" spans="1:10" s="13" customFormat="1">
      <c r="A76" s="11"/>
      <c r="B76" s="14"/>
      <c r="C76" s="11"/>
      <c r="D76" s="37" t="s">
        <v>59</v>
      </c>
      <c r="E76" s="11"/>
      <c r="F76" s="159"/>
      <c r="G76" s="150"/>
      <c r="H76" s="17"/>
      <c r="I76" s="32"/>
      <c r="J76" s="32"/>
    </row>
    <row r="77" spans="1:10" s="13" customFormat="1">
      <c r="A77" s="11"/>
      <c r="B77" s="14"/>
      <c r="C77" s="11"/>
      <c r="D77" s="185"/>
      <c r="E77" s="11"/>
      <c r="F77" s="159"/>
      <c r="G77" s="150"/>
      <c r="H77" s="12"/>
      <c r="I77" s="32"/>
      <c r="J77" s="32"/>
    </row>
    <row r="78" spans="1:10">
      <c r="A78" s="11"/>
      <c r="B78" s="14"/>
      <c r="C78" s="20"/>
      <c r="D78" s="37" t="s">
        <v>315</v>
      </c>
      <c r="E78" s="159"/>
      <c r="F78" s="159"/>
      <c r="G78" s="150"/>
      <c r="H78" s="17"/>
      <c r="I78" s="9"/>
      <c r="J78" s="9"/>
    </row>
    <row r="79" spans="1:10" s="13" customFormat="1">
      <c r="A79" s="22" t="s">
        <v>173</v>
      </c>
      <c r="B79" s="3"/>
      <c r="C79" s="26"/>
      <c r="D79" s="27" t="s">
        <v>197</v>
      </c>
      <c r="E79" s="36"/>
      <c r="F79" s="3"/>
      <c r="G79" s="8"/>
      <c r="H79" s="8"/>
      <c r="I79" s="32"/>
    </row>
    <row r="80" spans="1:10" s="13" customFormat="1">
      <c r="A80" s="22">
        <v>1</v>
      </c>
      <c r="B80" s="3"/>
      <c r="C80" s="26"/>
      <c r="D80" s="27" t="s">
        <v>153</v>
      </c>
      <c r="E80" s="36"/>
      <c r="F80" s="3"/>
      <c r="G80" s="8"/>
      <c r="H80" s="8"/>
      <c r="I80" s="32"/>
    </row>
    <row r="81" spans="1:10" s="13" customFormat="1">
      <c r="A81" s="11" t="s">
        <v>43</v>
      </c>
      <c r="B81" s="11" t="s">
        <v>820</v>
      </c>
      <c r="C81" s="30" t="s">
        <v>154</v>
      </c>
      <c r="D81" s="154" t="s">
        <v>155</v>
      </c>
      <c r="E81" s="30" t="s">
        <v>156</v>
      </c>
      <c r="F81" s="147">
        <v>1</v>
      </c>
      <c r="G81" s="12"/>
      <c r="H81" s="12"/>
      <c r="I81" s="32"/>
    </row>
    <row r="82" spans="1:10" s="13" customFormat="1">
      <c r="A82" s="11" t="s">
        <v>44</v>
      </c>
      <c r="B82" s="11" t="s">
        <v>820</v>
      </c>
      <c r="C82" s="11" t="s">
        <v>157</v>
      </c>
      <c r="D82" s="154" t="s">
        <v>158</v>
      </c>
      <c r="E82" s="30" t="s">
        <v>156</v>
      </c>
      <c r="F82" s="147">
        <v>1</v>
      </c>
      <c r="G82" s="12"/>
      <c r="H82" s="12"/>
      <c r="I82" s="32"/>
      <c r="J82" s="32"/>
    </row>
    <row r="83" spans="1:10" s="13" customFormat="1">
      <c r="A83" s="11" t="s">
        <v>45</v>
      </c>
      <c r="B83" s="11" t="s">
        <v>820</v>
      </c>
      <c r="C83" s="11" t="s">
        <v>159</v>
      </c>
      <c r="D83" s="154" t="s">
        <v>160</v>
      </c>
      <c r="E83" s="30" t="s">
        <v>156</v>
      </c>
      <c r="F83" s="147">
        <v>6</v>
      </c>
      <c r="G83" s="12"/>
      <c r="H83" s="12"/>
      <c r="I83" s="32"/>
    </row>
    <row r="84" spans="1:10" s="13" customFormat="1">
      <c r="A84" s="11" t="s">
        <v>135</v>
      </c>
      <c r="B84" s="11" t="s">
        <v>820</v>
      </c>
      <c r="C84" s="11" t="s">
        <v>216</v>
      </c>
      <c r="D84" s="154" t="s">
        <v>219</v>
      </c>
      <c r="E84" s="30" t="s">
        <v>156</v>
      </c>
      <c r="F84" s="147">
        <v>1</v>
      </c>
      <c r="G84" s="12"/>
      <c r="H84" s="12"/>
      <c r="I84" s="32"/>
    </row>
    <row r="85" spans="1:10" s="13" customFormat="1">
      <c r="A85" s="11" t="s">
        <v>174</v>
      </c>
      <c r="B85" s="11" t="s">
        <v>820</v>
      </c>
      <c r="C85" s="11" t="s">
        <v>218</v>
      </c>
      <c r="D85" s="154" t="s">
        <v>217</v>
      </c>
      <c r="E85" s="30" t="s">
        <v>156</v>
      </c>
      <c r="F85" s="147">
        <v>1</v>
      </c>
      <c r="G85" s="12"/>
      <c r="H85" s="12"/>
      <c r="I85" s="32"/>
    </row>
    <row r="86" spans="1:10" s="13" customFormat="1" ht="45" customHeight="1">
      <c r="A86" s="11" t="s">
        <v>175</v>
      </c>
      <c r="B86" s="11" t="s">
        <v>820</v>
      </c>
      <c r="C86" s="11" t="s">
        <v>221</v>
      </c>
      <c r="D86" s="154" t="s">
        <v>220</v>
      </c>
      <c r="E86" s="30" t="s">
        <v>156</v>
      </c>
      <c r="F86" s="147">
        <v>1</v>
      </c>
      <c r="G86" s="12"/>
      <c r="H86" s="12"/>
      <c r="I86" s="32"/>
    </row>
    <row r="87" spans="1:10" s="13" customFormat="1">
      <c r="A87" s="11" t="s">
        <v>176</v>
      </c>
      <c r="B87" s="11" t="s">
        <v>820</v>
      </c>
      <c r="C87" s="11" t="s">
        <v>223</v>
      </c>
      <c r="D87" s="154" t="s">
        <v>222</v>
      </c>
      <c r="E87" s="30" t="s">
        <v>156</v>
      </c>
      <c r="F87" s="147">
        <v>1</v>
      </c>
      <c r="G87" s="12"/>
      <c r="H87" s="12"/>
      <c r="I87" s="32"/>
    </row>
    <row r="88" spans="1:10" s="13" customFormat="1">
      <c r="A88" s="11" t="s">
        <v>177</v>
      </c>
      <c r="B88" s="11" t="s">
        <v>820</v>
      </c>
      <c r="C88" s="11" t="s">
        <v>161</v>
      </c>
      <c r="D88" s="154" t="s">
        <v>162</v>
      </c>
      <c r="E88" s="30" t="s">
        <v>156</v>
      </c>
      <c r="F88" s="147">
        <v>1</v>
      </c>
      <c r="G88" s="12"/>
      <c r="H88" s="12"/>
      <c r="I88" s="32"/>
    </row>
    <row r="89" spans="1:10" s="13" customFormat="1" ht="29.25">
      <c r="A89" s="11" t="s">
        <v>178</v>
      </c>
      <c r="B89" s="11" t="s">
        <v>820</v>
      </c>
      <c r="C89" s="11" t="s">
        <v>163</v>
      </c>
      <c r="D89" s="154" t="s">
        <v>164</v>
      </c>
      <c r="E89" s="30" t="s">
        <v>156</v>
      </c>
      <c r="F89" s="147">
        <v>4</v>
      </c>
      <c r="G89" s="12"/>
      <c r="H89" s="12"/>
      <c r="I89" s="32"/>
    </row>
    <row r="90" spans="1:10" s="13" customFormat="1" ht="29.25">
      <c r="A90" s="11" t="s">
        <v>179</v>
      </c>
      <c r="B90" s="11" t="s">
        <v>820</v>
      </c>
      <c r="C90" s="11" t="s">
        <v>165</v>
      </c>
      <c r="D90" s="154" t="s">
        <v>166</v>
      </c>
      <c r="E90" s="30" t="s">
        <v>156</v>
      </c>
      <c r="F90" s="147">
        <v>1</v>
      </c>
      <c r="G90" s="12"/>
      <c r="H90" s="12"/>
      <c r="I90" s="32"/>
    </row>
    <row r="91" spans="1:10" s="13" customFormat="1">
      <c r="A91" s="11" t="s">
        <v>180</v>
      </c>
      <c r="B91" s="11" t="s">
        <v>820</v>
      </c>
      <c r="C91" s="11" t="s">
        <v>167</v>
      </c>
      <c r="D91" s="154" t="s">
        <v>168</v>
      </c>
      <c r="E91" s="30" t="s">
        <v>156</v>
      </c>
      <c r="F91" s="147">
        <v>4</v>
      </c>
      <c r="G91" s="12"/>
      <c r="H91" s="12"/>
      <c r="I91" s="32"/>
    </row>
    <row r="92" spans="1:10" s="13" customFormat="1">
      <c r="A92" s="11" t="s">
        <v>181</v>
      </c>
      <c r="B92" s="11" t="s">
        <v>820</v>
      </c>
      <c r="C92" s="11" t="s">
        <v>395</v>
      </c>
      <c r="D92" s="154" t="s">
        <v>394</v>
      </c>
      <c r="E92" s="30" t="s">
        <v>150</v>
      </c>
      <c r="F92" s="147">
        <f>4</f>
        <v>4</v>
      </c>
      <c r="G92" s="12"/>
      <c r="H92" s="12"/>
      <c r="I92" s="32"/>
    </row>
    <row r="93" spans="1:10" s="13" customFormat="1">
      <c r="A93" s="11" t="s">
        <v>182</v>
      </c>
      <c r="B93" s="11" t="s">
        <v>820</v>
      </c>
      <c r="C93" s="11" t="s">
        <v>406</v>
      </c>
      <c r="D93" s="154" t="s">
        <v>405</v>
      </c>
      <c r="E93" s="30" t="s">
        <v>150</v>
      </c>
      <c r="F93" s="147">
        <f>4*3+(20*3)</f>
        <v>72</v>
      </c>
      <c r="G93" s="12"/>
      <c r="H93" s="12"/>
      <c r="I93" s="32"/>
    </row>
    <row r="94" spans="1:10" s="13" customFormat="1">
      <c r="A94" s="11" t="s">
        <v>183</v>
      </c>
      <c r="B94" s="11" t="s">
        <v>820</v>
      </c>
      <c r="C94" s="11" t="s">
        <v>191</v>
      </c>
      <c r="D94" s="154" t="s">
        <v>187</v>
      </c>
      <c r="E94" s="30" t="s">
        <v>150</v>
      </c>
      <c r="F94" s="147">
        <f>(2.78*3)*3</f>
        <v>25.02</v>
      </c>
      <c r="G94" s="12"/>
      <c r="H94" s="12"/>
      <c r="I94" s="32"/>
    </row>
    <row r="95" spans="1:10" s="13" customFormat="1">
      <c r="A95" s="11" t="s">
        <v>184</v>
      </c>
      <c r="B95" s="11" t="s">
        <v>820</v>
      </c>
      <c r="C95" s="11" t="s">
        <v>169</v>
      </c>
      <c r="D95" s="154" t="s">
        <v>170</v>
      </c>
      <c r="E95" s="30" t="s">
        <v>150</v>
      </c>
      <c r="F95" s="147">
        <f>(2.71+1.5+2+1.2+2.32+2.2+(2.65*5))*3</f>
        <v>75.539999999999992</v>
      </c>
      <c r="G95" s="12"/>
      <c r="H95" s="12"/>
      <c r="I95" s="32"/>
    </row>
    <row r="96" spans="1:10" s="13" customFormat="1">
      <c r="A96" s="11" t="s">
        <v>188</v>
      </c>
      <c r="B96" s="11" t="s">
        <v>820</v>
      </c>
      <c r="C96" s="11" t="s">
        <v>171</v>
      </c>
      <c r="D96" s="154" t="s">
        <v>172</v>
      </c>
      <c r="E96" s="30" t="s">
        <v>150</v>
      </c>
      <c r="F96" s="147">
        <f>(1.2+2.32+2.2+(2.65*5))*2</f>
        <v>37.94</v>
      </c>
      <c r="G96" s="12"/>
      <c r="H96" s="12"/>
      <c r="I96" s="32"/>
    </row>
    <row r="97" spans="1:10" s="13" customFormat="1">
      <c r="A97" s="11" t="s">
        <v>189</v>
      </c>
      <c r="B97" s="11" t="s">
        <v>820</v>
      </c>
      <c r="C97" s="11" t="s">
        <v>193</v>
      </c>
      <c r="D97" s="154" t="s">
        <v>194</v>
      </c>
      <c r="E97" s="30" t="s">
        <v>192</v>
      </c>
      <c r="F97" s="147">
        <v>2</v>
      </c>
      <c r="G97" s="12"/>
      <c r="H97" s="12"/>
      <c r="I97" s="32"/>
    </row>
    <row r="98" spans="1:10" s="13" customFormat="1">
      <c r="A98" s="11" t="s">
        <v>190</v>
      </c>
      <c r="B98" s="11" t="s">
        <v>820</v>
      </c>
      <c r="C98" s="11" t="s">
        <v>195</v>
      </c>
      <c r="D98" s="154" t="s">
        <v>196</v>
      </c>
      <c r="E98" s="30" t="s">
        <v>192</v>
      </c>
      <c r="F98" s="147">
        <v>3</v>
      </c>
      <c r="G98" s="12"/>
      <c r="H98" s="12"/>
      <c r="I98" s="32"/>
    </row>
    <row r="99" spans="1:10" s="13" customFormat="1" ht="29.25">
      <c r="A99" s="11" t="s">
        <v>349</v>
      </c>
      <c r="B99" s="11" t="s">
        <v>820</v>
      </c>
      <c r="C99" s="11" t="s">
        <v>185</v>
      </c>
      <c r="D99" s="154" t="s">
        <v>186</v>
      </c>
      <c r="E99" s="30" t="s">
        <v>156</v>
      </c>
      <c r="F99" s="147">
        <v>4</v>
      </c>
      <c r="G99" s="12"/>
      <c r="H99" s="12"/>
      <c r="I99" s="32"/>
    </row>
    <row r="100" spans="1:10" s="13" customFormat="1" ht="42.75" customHeight="1">
      <c r="A100" s="11" t="s">
        <v>350</v>
      </c>
      <c r="B100" s="14" t="s">
        <v>333</v>
      </c>
      <c r="C100" s="156">
        <v>41195</v>
      </c>
      <c r="D100" s="186" t="s">
        <v>348</v>
      </c>
      <c r="E100" s="30" t="s">
        <v>156</v>
      </c>
      <c r="F100" s="147">
        <v>1</v>
      </c>
      <c r="G100" s="12"/>
      <c r="H100" s="12"/>
      <c r="I100" s="32"/>
    </row>
    <row r="101" spans="1:10" s="13" customFormat="1" ht="42.75" customHeight="1">
      <c r="A101" s="11" t="s">
        <v>351</v>
      </c>
      <c r="B101" s="14" t="s">
        <v>333</v>
      </c>
      <c r="C101" s="11">
        <v>100578</v>
      </c>
      <c r="D101" s="160" t="s">
        <v>334</v>
      </c>
      <c r="E101" s="11" t="s">
        <v>156</v>
      </c>
      <c r="F101" s="10">
        <v>1</v>
      </c>
      <c r="G101" s="150"/>
      <c r="H101" s="12"/>
      <c r="I101" s="32"/>
    </row>
    <row r="102" spans="1:10" s="13" customFormat="1">
      <c r="A102" s="11" t="s">
        <v>387</v>
      </c>
      <c r="B102" s="11" t="s">
        <v>820</v>
      </c>
      <c r="C102" s="156" t="s">
        <v>347</v>
      </c>
      <c r="D102" s="186" t="s">
        <v>346</v>
      </c>
      <c r="E102" s="30" t="s">
        <v>150</v>
      </c>
      <c r="F102" s="147">
        <f>7.5+0.5</f>
        <v>8</v>
      </c>
      <c r="G102" s="12"/>
      <c r="H102" s="12"/>
      <c r="I102" s="32"/>
      <c r="J102" s="32"/>
    </row>
    <row r="103" spans="1:10" s="13" customFormat="1">
      <c r="A103" s="11" t="s">
        <v>390</v>
      </c>
      <c r="B103" s="11" t="s">
        <v>820</v>
      </c>
      <c r="C103" s="156" t="s">
        <v>386</v>
      </c>
      <c r="D103" s="186" t="s">
        <v>385</v>
      </c>
      <c r="E103" s="30" t="s">
        <v>156</v>
      </c>
      <c r="F103" s="147">
        <f>1</f>
        <v>1</v>
      </c>
      <c r="G103" s="12"/>
      <c r="H103" s="12"/>
      <c r="I103" s="32"/>
    </row>
    <row r="104" spans="1:10" s="13" customFormat="1" ht="29.25">
      <c r="A104" s="11" t="s">
        <v>393</v>
      </c>
      <c r="B104" s="11" t="s">
        <v>820</v>
      </c>
      <c r="C104" s="156" t="s">
        <v>392</v>
      </c>
      <c r="D104" s="186" t="s">
        <v>391</v>
      </c>
      <c r="E104" s="30" t="s">
        <v>156</v>
      </c>
      <c r="F104" s="147">
        <v>1</v>
      </c>
      <c r="G104" s="12"/>
      <c r="H104" s="12"/>
      <c r="I104" s="32"/>
      <c r="J104" s="32"/>
    </row>
    <row r="105" spans="1:10" s="13" customFormat="1">
      <c r="A105" s="11" t="s">
        <v>408</v>
      </c>
      <c r="B105" s="11" t="s">
        <v>820</v>
      </c>
      <c r="C105" s="156" t="s">
        <v>389</v>
      </c>
      <c r="D105" s="186" t="s">
        <v>388</v>
      </c>
      <c r="E105" s="30" t="s">
        <v>156</v>
      </c>
      <c r="F105" s="147">
        <v>1</v>
      </c>
      <c r="G105" s="12"/>
      <c r="H105" s="12"/>
      <c r="I105" s="32"/>
    </row>
    <row r="106" spans="1:10" s="13" customFormat="1">
      <c r="A106" s="11"/>
      <c r="B106" s="11"/>
      <c r="C106" s="156"/>
      <c r="D106" s="186"/>
      <c r="E106" s="30"/>
      <c r="F106" s="147"/>
      <c r="G106" s="12"/>
      <c r="H106" s="12"/>
      <c r="I106" s="32"/>
    </row>
    <row r="107" spans="1:10" s="13" customFormat="1" ht="16.5">
      <c r="A107" s="11"/>
      <c r="B107" s="11"/>
      <c r="C107" s="156"/>
      <c r="D107" s="161" t="s">
        <v>212</v>
      </c>
      <c r="E107" s="11"/>
      <c r="F107" s="10"/>
      <c r="G107" s="162"/>
      <c r="H107" s="17"/>
      <c r="I107" s="32"/>
    </row>
    <row r="108" spans="1:10" s="13" customFormat="1">
      <c r="A108" s="22">
        <v>2</v>
      </c>
      <c r="B108" s="157"/>
      <c r="C108" s="158"/>
      <c r="D108" s="7" t="s">
        <v>204</v>
      </c>
      <c r="E108" s="3"/>
      <c r="F108" s="3"/>
      <c r="G108" s="8"/>
      <c r="H108" s="8"/>
      <c r="I108" s="32"/>
    </row>
    <row r="109" spans="1:10" s="13" customFormat="1">
      <c r="A109" s="11" t="s">
        <v>63</v>
      </c>
      <c r="B109" s="11" t="s">
        <v>820</v>
      </c>
      <c r="C109" s="156" t="s">
        <v>200</v>
      </c>
      <c r="D109" s="1" t="s">
        <v>201</v>
      </c>
      <c r="E109" s="11" t="s">
        <v>150</v>
      </c>
      <c r="F109" s="11">
        <f>1.28+1.18+0.3</f>
        <v>2.76</v>
      </c>
      <c r="G109" s="12"/>
      <c r="H109" s="12"/>
      <c r="I109" s="32"/>
    </row>
    <row r="110" spans="1:10" s="13" customFormat="1">
      <c r="A110" s="11" t="s">
        <v>64</v>
      </c>
      <c r="B110" s="11" t="s">
        <v>820</v>
      </c>
      <c r="C110" s="156" t="s">
        <v>206</v>
      </c>
      <c r="D110" s="153" t="s">
        <v>205</v>
      </c>
      <c r="E110" s="11" t="s">
        <v>150</v>
      </c>
      <c r="F110" s="10">
        <f>(2.08+0.32+1.1+0.32+1.65+1.05+1.17+0.8)*1.41</f>
        <v>11.9709</v>
      </c>
      <c r="G110" s="12"/>
      <c r="H110" s="12"/>
      <c r="I110" s="32"/>
    </row>
    <row r="111" spans="1:10" s="13" customFormat="1">
      <c r="A111" s="11" t="s">
        <v>146</v>
      </c>
      <c r="B111" s="11" t="s">
        <v>820</v>
      </c>
      <c r="C111" s="156" t="s">
        <v>208</v>
      </c>
      <c r="D111" s="153" t="s">
        <v>207</v>
      </c>
      <c r="E111" s="11" t="s">
        <v>9</v>
      </c>
      <c r="F111" s="11">
        <f>0.8*2.1</f>
        <v>1.6800000000000002</v>
      </c>
      <c r="G111" s="12"/>
      <c r="H111" s="12"/>
      <c r="I111" s="32"/>
    </row>
    <row r="112" spans="1:10" s="13" customFormat="1" ht="29.25">
      <c r="A112" s="11" t="s">
        <v>147</v>
      </c>
      <c r="B112" s="11" t="s">
        <v>820</v>
      </c>
      <c r="C112" s="156" t="s">
        <v>210</v>
      </c>
      <c r="D112" s="155" t="s">
        <v>224</v>
      </c>
      <c r="E112" s="11" t="s">
        <v>150</v>
      </c>
      <c r="F112" s="10">
        <v>5.9</v>
      </c>
      <c r="G112" s="12"/>
      <c r="H112" s="12"/>
      <c r="I112" s="32"/>
    </row>
    <row r="113" spans="1:9" s="13" customFormat="1">
      <c r="A113" s="11"/>
      <c r="B113" s="16"/>
      <c r="C113" s="156"/>
      <c r="D113" s="161" t="s">
        <v>211</v>
      </c>
      <c r="E113" s="11"/>
      <c r="F113" s="11"/>
      <c r="G113" s="12"/>
      <c r="H113" s="17"/>
      <c r="I113" s="32"/>
    </row>
    <row r="114" spans="1:9" s="13" customFormat="1" ht="8.25" customHeight="1">
      <c r="A114" s="11"/>
      <c r="B114" s="16"/>
      <c r="C114" s="156"/>
      <c r="D114" s="153"/>
      <c r="E114" s="11"/>
      <c r="F114" s="16"/>
      <c r="G114" s="12"/>
      <c r="H114" s="12"/>
      <c r="I114" s="32"/>
    </row>
    <row r="115" spans="1:9" s="13" customFormat="1">
      <c r="A115" s="22">
        <v>3</v>
      </c>
      <c r="B115" s="157"/>
      <c r="C115" s="158"/>
      <c r="D115" s="151" t="s">
        <v>225</v>
      </c>
      <c r="E115" s="3"/>
      <c r="F115" s="3"/>
      <c r="G115" s="8"/>
      <c r="H115" s="8"/>
      <c r="I115" s="32"/>
    </row>
    <row r="116" spans="1:9" s="13" customFormat="1">
      <c r="A116" s="11" t="s">
        <v>65</v>
      </c>
      <c r="B116" s="11" t="s">
        <v>820</v>
      </c>
      <c r="C116" s="156" t="s">
        <v>228</v>
      </c>
      <c r="D116" s="153" t="s">
        <v>227</v>
      </c>
      <c r="E116" s="11" t="s">
        <v>9</v>
      </c>
      <c r="F116" s="11">
        <f>1.2+4.16+1.56+1.95</f>
        <v>8.8699999999999992</v>
      </c>
      <c r="G116" s="12"/>
      <c r="H116" s="12"/>
      <c r="I116" s="32"/>
    </row>
    <row r="117" spans="1:9" s="13" customFormat="1">
      <c r="A117" s="11" t="s">
        <v>66</v>
      </c>
      <c r="B117" s="11" t="s">
        <v>820</v>
      </c>
      <c r="C117" s="156" t="s">
        <v>299</v>
      </c>
      <c r="D117" s="155" t="s">
        <v>298</v>
      </c>
      <c r="E117" s="11" t="s">
        <v>293</v>
      </c>
      <c r="F117" s="10">
        <f>29.4*0.38</f>
        <v>11.171999999999999</v>
      </c>
      <c r="G117" s="12"/>
      <c r="H117" s="12"/>
      <c r="I117" s="32"/>
    </row>
    <row r="118" spans="1:9" s="13" customFormat="1">
      <c r="A118" s="11"/>
      <c r="B118" s="16"/>
      <c r="C118" s="156"/>
      <c r="D118" s="161" t="s">
        <v>215</v>
      </c>
      <c r="E118" s="11"/>
      <c r="F118" s="16"/>
      <c r="G118" s="12"/>
      <c r="H118" s="17"/>
      <c r="I118" s="32"/>
    </row>
    <row r="119" spans="1:9" s="13" customFormat="1" ht="6.75" customHeight="1">
      <c r="A119" s="11"/>
      <c r="B119" s="16"/>
      <c r="C119" s="152"/>
      <c r="D119" s="153"/>
      <c r="E119" s="16"/>
      <c r="F119" s="16"/>
      <c r="G119" s="12"/>
      <c r="H119" s="12"/>
      <c r="I119" s="32"/>
    </row>
    <row r="120" spans="1:9" s="13" customFormat="1">
      <c r="A120" s="22">
        <v>4</v>
      </c>
      <c r="B120" s="157"/>
      <c r="C120" s="158"/>
      <c r="D120" s="151" t="s">
        <v>57</v>
      </c>
      <c r="E120" s="3"/>
      <c r="F120" s="3"/>
      <c r="G120" s="8"/>
      <c r="H120" s="8"/>
      <c r="I120" s="32"/>
    </row>
    <row r="121" spans="1:9" s="13" customFormat="1">
      <c r="A121" s="11" t="s">
        <v>50</v>
      </c>
      <c r="B121" s="11" t="s">
        <v>820</v>
      </c>
      <c r="C121" s="11" t="s">
        <v>693</v>
      </c>
      <c r="D121" s="15" t="s">
        <v>689</v>
      </c>
      <c r="E121" s="11" t="s">
        <v>691</v>
      </c>
      <c r="F121" s="10">
        <f>10*1</f>
        <v>10</v>
      </c>
      <c r="G121" s="12"/>
      <c r="H121" s="148"/>
      <c r="I121" s="32"/>
    </row>
    <row r="122" spans="1:9" s="13" customFormat="1">
      <c r="A122" s="11" t="s">
        <v>52</v>
      </c>
      <c r="B122" s="11" t="s">
        <v>820</v>
      </c>
      <c r="C122" s="11" t="s">
        <v>692</v>
      </c>
      <c r="D122" s="15" t="s">
        <v>690</v>
      </c>
      <c r="E122" s="11" t="s">
        <v>150</v>
      </c>
      <c r="F122" s="10">
        <f>10</f>
        <v>10</v>
      </c>
      <c r="G122" s="12"/>
      <c r="H122" s="148"/>
      <c r="I122" s="32"/>
    </row>
    <row r="123" spans="1:9" s="13" customFormat="1">
      <c r="A123" s="11" t="s">
        <v>70</v>
      </c>
      <c r="B123" s="11" t="s">
        <v>820</v>
      </c>
      <c r="C123" s="20" t="s">
        <v>198</v>
      </c>
      <c r="D123" s="149" t="s">
        <v>203</v>
      </c>
      <c r="E123" s="159" t="s">
        <v>9</v>
      </c>
      <c r="F123" s="159">
        <f>((9.01*3.13)+(14.18*3.57)+(8.98*1.61)+(7.67*3.13)+(17.17*2.65)+(7.72*1.8)+6.68+9.54)</f>
        <v>192.90529999999998</v>
      </c>
      <c r="G123" s="150"/>
      <c r="H123" s="12"/>
      <c r="I123" s="32"/>
    </row>
    <row r="124" spans="1:9" s="13" customFormat="1">
      <c r="A124" s="11" t="s">
        <v>226</v>
      </c>
      <c r="B124" s="11" t="s">
        <v>820</v>
      </c>
      <c r="C124" s="20" t="s">
        <v>41</v>
      </c>
      <c r="D124" s="149" t="s">
        <v>202</v>
      </c>
      <c r="E124" s="159" t="s">
        <v>9</v>
      </c>
      <c r="F124" s="159">
        <f>F123</f>
        <v>192.90529999999998</v>
      </c>
      <c r="G124" s="150"/>
      <c r="H124" s="12"/>
      <c r="I124" s="32"/>
    </row>
    <row r="125" spans="1:9" s="13" customFormat="1" ht="29.25">
      <c r="A125" s="11" t="s">
        <v>243</v>
      </c>
      <c r="B125" s="11" t="s">
        <v>820</v>
      </c>
      <c r="C125" s="20" t="s">
        <v>199</v>
      </c>
      <c r="D125" s="160" t="s">
        <v>209</v>
      </c>
      <c r="E125" s="159" t="s">
        <v>9</v>
      </c>
      <c r="F125" s="159">
        <f>(0.12*10.37)+(0.8*2.1*2.5)+2.56</f>
        <v>8.0044000000000004</v>
      </c>
      <c r="G125" s="150"/>
      <c r="H125" s="12"/>
      <c r="I125" s="32"/>
    </row>
    <row r="126" spans="1:9" s="13" customFormat="1">
      <c r="A126" s="11" t="s">
        <v>246</v>
      </c>
      <c r="B126" s="11" t="s">
        <v>820</v>
      </c>
      <c r="C126" s="20" t="s">
        <v>213</v>
      </c>
      <c r="D126" s="149" t="s">
        <v>214</v>
      </c>
      <c r="E126" s="159" t="s">
        <v>9</v>
      </c>
      <c r="F126" s="159">
        <f>3.19+(0.8*0.16*0.18)+7.35</f>
        <v>10.563039999999999</v>
      </c>
      <c r="G126" s="150"/>
      <c r="H126" s="12"/>
      <c r="I126" s="32"/>
    </row>
    <row r="127" spans="1:9" s="13" customFormat="1" ht="29.25">
      <c r="A127" s="11" t="s">
        <v>696</v>
      </c>
      <c r="B127" s="11" t="s">
        <v>820</v>
      </c>
      <c r="C127" s="11" t="s">
        <v>244</v>
      </c>
      <c r="D127" s="15" t="s">
        <v>245</v>
      </c>
      <c r="E127" s="11" t="s">
        <v>9</v>
      </c>
      <c r="F127" s="10">
        <f>1.82+7.87+(15.98*0.3)</f>
        <v>14.483999999999998</v>
      </c>
      <c r="G127" s="12"/>
      <c r="H127" s="12"/>
      <c r="I127" s="32"/>
    </row>
    <row r="128" spans="1:9" s="13" customFormat="1" ht="29.25">
      <c r="A128" s="11" t="s">
        <v>697</v>
      </c>
      <c r="B128" s="11" t="s">
        <v>820</v>
      </c>
      <c r="C128" s="11" t="s">
        <v>247</v>
      </c>
      <c r="D128" s="15" t="s">
        <v>248</v>
      </c>
      <c r="E128" s="11" t="s">
        <v>10</v>
      </c>
      <c r="F128" s="10">
        <f>(1.82+7.87)*0.02</f>
        <v>0.1938</v>
      </c>
      <c r="G128" s="12"/>
      <c r="H128" s="12"/>
      <c r="I128" s="32"/>
    </row>
    <row r="129" spans="1:9" s="13" customFormat="1">
      <c r="A129" s="11"/>
      <c r="B129" s="14"/>
      <c r="C129" s="20"/>
      <c r="D129" s="161" t="s">
        <v>238</v>
      </c>
      <c r="E129" s="159"/>
      <c r="F129" s="159"/>
      <c r="G129" s="150"/>
      <c r="H129" s="17"/>
      <c r="I129" s="32"/>
    </row>
    <row r="130" spans="1:9" s="13" customFormat="1" ht="6.75" customHeight="1">
      <c r="A130" s="11"/>
      <c r="B130" s="14"/>
      <c r="C130" s="20"/>
      <c r="D130" s="161"/>
      <c r="E130" s="159"/>
      <c r="F130" s="159"/>
      <c r="G130" s="150"/>
      <c r="H130" s="17"/>
      <c r="I130" s="32"/>
    </row>
    <row r="131" spans="1:9" s="13" customFormat="1">
      <c r="A131" s="22">
        <v>5</v>
      </c>
      <c r="B131" s="164"/>
      <c r="C131" s="165"/>
      <c r="D131" s="166" t="s">
        <v>249</v>
      </c>
      <c r="E131" s="167"/>
      <c r="F131" s="167"/>
      <c r="G131" s="168"/>
      <c r="H131" s="8"/>
      <c r="I131" s="32"/>
    </row>
    <row r="132" spans="1:9" s="13" customFormat="1">
      <c r="A132" s="169" t="s">
        <v>270</v>
      </c>
      <c r="B132" s="11" t="s">
        <v>820</v>
      </c>
      <c r="C132" s="30" t="s">
        <v>250</v>
      </c>
      <c r="D132" s="170" t="s">
        <v>251</v>
      </c>
      <c r="E132" s="30" t="s">
        <v>156</v>
      </c>
      <c r="F132" s="171">
        <f>1</f>
        <v>1</v>
      </c>
      <c r="G132" s="172"/>
      <c r="H132" s="12"/>
      <c r="I132" s="32"/>
    </row>
    <row r="133" spans="1:9" s="13" customFormat="1" ht="29.25">
      <c r="A133" s="169" t="s">
        <v>271</v>
      </c>
      <c r="B133" s="11" t="s">
        <v>820</v>
      </c>
      <c r="C133" s="30" t="s">
        <v>252</v>
      </c>
      <c r="D133" s="170" t="s">
        <v>253</v>
      </c>
      <c r="E133" s="30" t="s">
        <v>156</v>
      </c>
      <c r="F133" s="171">
        <f>2</f>
        <v>2</v>
      </c>
      <c r="G133" s="172"/>
      <c r="H133" s="12"/>
      <c r="I133" s="32"/>
    </row>
    <row r="134" spans="1:9" s="13" customFormat="1" ht="29.25">
      <c r="A134" s="169" t="s">
        <v>272</v>
      </c>
      <c r="B134" s="11" t="s">
        <v>820</v>
      </c>
      <c r="C134" s="173" t="s">
        <v>254</v>
      </c>
      <c r="D134" s="174" t="s">
        <v>255</v>
      </c>
      <c r="E134" s="175" t="s">
        <v>156</v>
      </c>
      <c r="F134" s="175">
        <v>1</v>
      </c>
      <c r="G134" s="172"/>
      <c r="H134" s="12"/>
      <c r="I134" s="32"/>
    </row>
    <row r="135" spans="1:9" s="13" customFormat="1" ht="29.25">
      <c r="A135" s="169" t="s">
        <v>273</v>
      </c>
      <c r="B135" s="11" t="s">
        <v>820</v>
      </c>
      <c r="C135" s="173" t="s">
        <v>256</v>
      </c>
      <c r="D135" s="174" t="s">
        <v>257</v>
      </c>
      <c r="E135" s="175" t="s">
        <v>156</v>
      </c>
      <c r="F135" s="175">
        <v>3</v>
      </c>
      <c r="G135" s="172"/>
      <c r="H135" s="12"/>
      <c r="I135" s="32"/>
    </row>
    <row r="136" spans="1:9" s="13" customFormat="1">
      <c r="A136" s="11"/>
      <c r="B136" s="14"/>
      <c r="C136" s="173"/>
      <c r="D136" s="161" t="s">
        <v>258</v>
      </c>
      <c r="E136" s="175"/>
      <c r="F136" s="175"/>
      <c r="G136" s="172"/>
      <c r="H136" s="17"/>
      <c r="I136" s="32"/>
    </row>
    <row r="137" spans="1:9" s="13" customFormat="1">
      <c r="A137" s="11"/>
      <c r="B137" s="14"/>
      <c r="C137" s="173"/>
      <c r="D137" s="161"/>
      <c r="E137" s="175"/>
      <c r="F137" s="175"/>
      <c r="G137" s="172"/>
      <c r="H137" s="17"/>
      <c r="I137" s="32"/>
    </row>
    <row r="138" spans="1:9" s="13" customFormat="1">
      <c r="A138" s="11"/>
      <c r="B138" s="14"/>
      <c r="C138" s="173"/>
      <c r="D138" s="37" t="s">
        <v>637</v>
      </c>
      <c r="E138" s="175"/>
      <c r="F138" s="175"/>
      <c r="G138" s="172"/>
      <c r="H138" s="17"/>
      <c r="I138" s="32"/>
    </row>
    <row r="139" spans="1:9" s="13" customFormat="1">
      <c r="A139" s="22" t="s">
        <v>422</v>
      </c>
      <c r="B139" s="164"/>
      <c r="C139" s="165"/>
      <c r="D139" s="166" t="s">
        <v>754</v>
      </c>
      <c r="E139" s="167"/>
      <c r="F139" s="167"/>
      <c r="G139" s="168"/>
      <c r="H139" s="8"/>
      <c r="I139" s="32"/>
    </row>
    <row r="140" spans="1:9" s="13" customFormat="1">
      <c r="A140" s="22">
        <v>1</v>
      </c>
      <c r="B140" s="164"/>
      <c r="C140" s="165"/>
      <c r="D140" s="166" t="s">
        <v>636</v>
      </c>
      <c r="E140" s="167"/>
      <c r="F140" s="167"/>
      <c r="G140" s="168"/>
      <c r="H140" s="8"/>
      <c r="I140" s="32"/>
    </row>
    <row r="141" spans="1:9" s="13" customFormat="1">
      <c r="A141" s="11" t="s">
        <v>43</v>
      </c>
      <c r="B141" s="11" t="s">
        <v>820</v>
      </c>
      <c r="C141" s="30" t="s">
        <v>724</v>
      </c>
      <c r="D141" s="31" t="s">
        <v>723</v>
      </c>
      <c r="E141" s="25" t="s">
        <v>9</v>
      </c>
      <c r="F141" s="10">
        <v>1412.12</v>
      </c>
      <c r="G141" s="12"/>
      <c r="H141" s="12"/>
      <c r="I141" s="32"/>
    </row>
    <row r="142" spans="1:9" s="13" customFormat="1" ht="29.25">
      <c r="A142" s="11" t="s">
        <v>44</v>
      </c>
      <c r="B142" s="11" t="s">
        <v>820</v>
      </c>
      <c r="C142" s="30" t="s">
        <v>421</v>
      </c>
      <c r="D142" s="31" t="s">
        <v>420</v>
      </c>
      <c r="E142" s="25" t="s">
        <v>9</v>
      </c>
      <c r="F142" s="10">
        <v>1412.12</v>
      </c>
      <c r="G142" s="12"/>
      <c r="H142" s="12"/>
      <c r="I142" s="32"/>
    </row>
    <row r="143" spans="1:9" s="13" customFormat="1">
      <c r="A143" s="11" t="s">
        <v>45</v>
      </c>
      <c r="B143" s="11" t="s">
        <v>820</v>
      </c>
      <c r="C143" s="11" t="s">
        <v>632</v>
      </c>
      <c r="D143" s="223" t="s">
        <v>631</v>
      </c>
      <c r="E143" s="25" t="s">
        <v>10</v>
      </c>
      <c r="F143" s="10">
        <f>1412.12*0.1</f>
        <v>141.21199999999999</v>
      </c>
      <c r="G143" s="12"/>
      <c r="H143" s="12"/>
      <c r="I143" s="32"/>
    </row>
    <row r="144" spans="1:9" s="13" customFormat="1">
      <c r="A144" s="11" t="s">
        <v>135</v>
      </c>
      <c r="B144" s="11" t="s">
        <v>820</v>
      </c>
      <c r="C144" s="263" t="s">
        <v>819</v>
      </c>
      <c r="D144" s="223" t="s">
        <v>834</v>
      </c>
      <c r="E144" s="25" t="s">
        <v>10</v>
      </c>
      <c r="F144" s="10">
        <f>(225.73+217.94+15)*0.048</f>
        <v>22.016159999999999</v>
      </c>
      <c r="G144" s="12"/>
      <c r="H144" s="12"/>
      <c r="I144" s="32"/>
    </row>
    <row r="145" spans="1:9" s="13" customFormat="1">
      <c r="A145" s="11" t="s">
        <v>174</v>
      </c>
      <c r="B145" s="11" t="s">
        <v>820</v>
      </c>
      <c r="C145" s="250" t="s">
        <v>305</v>
      </c>
      <c r="D145" s="220" t="s">
        <v>759</v>
      </c>
      <c r="E145" s="250" t="s">
        <v>10</v>
      </c>
      <c r="F145" s="251">
        <f>F144</f>
        <v>22.016159999999999</v>
      </c>
      <c r="G145" s="252"/>
      <c r="H145" s="254"/>
      <c r="I145" s="32"/>
    </row>
    <row r="146" spans="1:9" s="13" customFormat="1" ht="29.25">
      <c r="A146" s="11" t="s">
        <v>175</v>
      </c>
      <c r="B146" s="11" t="s">
        <v>820</v>
      </c>
      <c r="C146" s="11" t="s">
        <v>306</v>
      </c>
      <c r="D146" s="15" t="s">
        <v>308</v>
      </c>
      <c r="E146" s="11" t="s">
        <v>10</v>
      </c>
      <c r="F146" s="175">
        <f>F145</f>
        <v>22.016159999999999</v>
      </c>
      <c r="G146" s="172"/>
      <c r="H146" s="12"/>
      <c r="I146" s="32"/>
    </row>
    <row r="147" spans="1:9" s="13" customFormat="1">
      <c r="A147" s="11" t="s">
        <v>176</v>
      </c>
      <c r="B147" s="11" t="s">
        <v>820</v>
      </c>
      <c r="C147" s="11" t="s">
        <v>721</v>
      </c>
      <c r="D147" s="15" t="s">
        <v>720</v>
      </c>
      <c r="E147" s="11" t="s">
        <v>150</v>
      </c>
      <c r="F147" s="10">
        <f>12+6+11+4</f>
        <v>33</v>
      </c>
      <c r="G147" s="12"/>
      <c r="H147" s="12"/>
      <c r="I147" s="32"/>
    </row>
    <row r="148" spans="1:9" s="13" customFormat="1">
      <c r="A148" s="11" t="s">
        <v>177</v>
      </c>
      <c r="B148" s="11" t="s">
        <v>820</v>
      </c>
      <c r="C148" s="11" t="s">
        <v>830</v>
      </c>
      <c r="D148" s="15" t="s">
        <v>831</v>
      </c>
      <c r="E148" s="25" t="s">
        <v>9</v>
      </c>
      <c r="F148" s="10">
        <f>F149+F49</f>
        <v>12105.000000000004</v>
      </c>
      <c r="G148" s="12"/>
      <c r="H148" s="12"/>
      <c r="I148" s="32"/>
    </row>
    <row r="149" spans="1:9" s="13" customFormat="1" ht="29.25">
      <c r="A149" s="11" t="s">
        <v>178</v>
      </c>
      <c r="B149" s="11" t="s">
        <v>820</v>
      </c>
      <c r="C149" s="30" t="s">
        <v>21</v>
      </c>
      <c r="D149" s="31" t="s">
        <v>20</v>
      </c>
      <c r="E149" s="25" t="s">
        <v>9</v>
      </c>
      <c r="F149" s="10">
        <v>1412.12</v>
      </c>
      <c r="G149" s="12"/>
      <c r="H149" s="12"/>
      <c r="I149" s="32"/>
    </row>
    <row r="150" spans="1:9" s="13" customFormat="1">
      <c r="A150" s="11" t="s">
        <v>179</v>
      </c>
      <c r="B150" s="11" t="s">
        <v>820</v>
      </c>
      <c r="C150" s="30" t="s">
        <v>757</v>
      </c>
      <c r="D150" s="31" t="s">
        <v>756</v>
      </c>
      <c r="E150" s="25" t="s">
        <v>150</v>
      </c>
      <c r="F150" s="10">
        <v>12</v>
      </c>
      <c r="G150" s="12"/>
      <c r="H150" s="12"/>
      <c r="I150" s="32"/>
    </row>
    <row r="151" spans="1:9" s="13" customFormat="1" ht="28.5">
      <c r="A151" s="11" t="s">
        <v>180</v>
      </c>
      <c r="B151" s="11" t="s">
        <v>820</v>
      </c>
      <c r="C151" s="250" t="s">
        <v>425</v>
      </c>
      <c r="D151" s="258" t="s">
        <v>794</v>
      </c>
      <c r="E151" s="250" t="s">
        <v>10</v>
      </c>
      <c r="F151" s="251">
        <f>12*0.7*0.4</f>
        <v>3.3599999999999994</v>
      </c>
      <c r="G151" s="252"/>
      <c r="H151" s="253"/>
      <c r="I151" s="32"/>
    </row>
    <row r="152" spans="1:9" s="13" customFormat="1">
      <c r="A152" s="11" t="s">
        <v>181</v>
      </c>
      <c r="B152" s="11" t="s">
        <v>820</v>
      </c>
      <c r="C152" s="11" t="s">
        <v>438</v>
      </c>
      <c r="D152" s="220" t="s">
        <v>795</v>
      </c>
      <c r="E152" s="11" t="s">
        <v>10</v>
      </c>
      <c r="F152" s="10">
        <f>F151*0.5</f>
        <v>1.6799999999999997</v>
      </c>
      <c r="G152" s="12"/>
      <c r="H152" s="256"/>
      <c r="I152" s="32"/>
    </row>
    <row r="153" spans="1:9" s="13" customFormat="1" ht="28.5">
      <c r="A153" s="11" t="s">
        <v>182</v>
      </c>
      <c r="B153" s="11" t="s">
        <v>820</v>
      </c>
      <c r="C153" s="169" t="s">
        <v>19</v>
      </c>
      <c r="D153" s="181" t="s">
        <v>796</v>
      </c>
      <c r="E153" s="14" t="s">
        <v>9</v>
      </c>
      <c r="F153" s="182">
        <f>12*0.7</f>
        <v>8.3999999999999986</v>
      </c>
      <c r="G153" s="183"/>
      <c r="H153" s="256"/>
      <c r="I153" s="32"/>
    </row>
    <row r="154" spans="1:9" s="13" customFormat="1">
      <c r="A154" s="11" t="s">
        <v>183</v>
      </c>
      <c r="B154" s="11" t="s">
        <v>820</v>
      </c>
      <c r="C154" s="250" t="s">
        <v>290</v>
      </c>
      <c r="D154" s="258" t="s">
        <v>793</v>
      </c>
      <c r="E154" s="250" t="s">
        <v>10</v>
      </c>
      <c r="F154" s="251">
        <f>12*0.7*0.05</f>
        <v>0.41999999999999993</v>
      </c>
      <c r="G154" s="252"/>
      <c r="H154" s="253"/>
      <c r="I154" s="32"/>
    </row>
    <row r="155" spans="1:9" s="13" customFormat="1">
      <c r="A155" s="30"/>
      <c r="B155" s="11"/>
      <c r="C155" s="169"/>
      <c r="D155" s="181"/>
      <c r="E155" s="257"/>
      <c r="F155" s="182"/>
      <c r="G155" s="183"/>
      <c r="H155" s="256"/>
      <c r="I155" s="32"/>
    </row>
    <row r="156" spans="1:9" s="13" customFormat="1">
      <c r="A156" s="11"/>
      <c r="B156" s="14"/>
      <c r="C156" s="30"/>
      <c r="D156" s="218" t="s">
        <v>212</v>
      </c>
      <c r="E156" s="25"/>
      <c r="F156" s="10"/>
      <c r="G156" s="12"/>
      <c r="H156" s="17"/>
      <c r="I156" s="32">
        <f>H156*1.25</f>
        <v>0</v>
      </c>
    </row>
    <row r="157" spans="1:9" s="13" customFormat="1">
      <c r="A157" s="22">
        <v>2</v>
      </c>
      <c r="B157" s="164"/>
      <c r="C157" s="165"/>
      <c r="D157" s="179" t="s">
        <v>782</v>
      </c>
      <c r="E157" s="247"/>
      <c r="F157" s="167"/>
      <c r="G157" s="168"/>
      <c r="H157" s="8"/>
      <c r="I157" s="32"/>
    </row>
    <row r="158" spans="1:9" s="13" customFormat="1">
      <c r="A158" s="11" t="s">
        <v>63</v>
      </c>
      <c r="B158" s="11" t="s">
        <v>820</v>
      </c>
      <c r="C158" s="30" t="s">
        <v>724</v>
      </c>
      <c r="D158" s="31" t="s">
        <v>723</v>
      </c>
      <c r="E158" s="25" t="s">
        <v>9</v>
      </c>
      <c r="F158" s="10">
        <v>95.1</v>
      </c>
      <c r="G158" s="12"/>
      <c r="H158" s="12"/>
      <c r="I158" s="32"/>
    </row>
    <row r="159" spans="1:9" s="13" customFormat="1">
      <c r="A159" s="11" t="s">
        <v>64</v>
      </c>
      <c r="B159" s="11" t="s">
        <v>820</v>
      </c>
      <c r="C159" s="30" t="s">
        <v>718</v>
      </c>
      <c r="D159" s="31" t="s">
        <v>717</v>
      </c>
      <c r="E159" s="25" t="s">
        <v>10</v>
      </c>
      <c r="F159" s="10">
        <f>(292.53*1)/2</f>
        <v>146.26499999999999</v>
      </c>
      <c r="G159" s="12"/>
      <c r="H159" s="12"/>
      <c r="I159" s="32"/>
    </row>
    <row r="160" spans="1:9" s="13" customFormat="1" ht="29.25">
      <c r="A160" s="11" t="s">
        <v>146</v>
      </c>
      <c r="B160" s="11" t="s">
        <v>820</v>
      </c>
      <c r="C160" s="30" t="s">
        <v>19</v>
      </c>
      <c r="D160" s="31" t="s">
        <v>62</v>
      </c>
      <c r="E160" s="25" t="s">
        <v>9</v>
      </c>
      <c r="F160" s="10">
        <f>168.35</f>
        <v>168.35</v>
      </c>
      <c r="G160" s="12"/>
      <c r="H160" s="12"/>
      <c r="I160" s="32"/>
    </row>
    <row r="161" spans="1:9" s="13" customFormat="1">
      <c r="A161" s="11" t="s">
        <v>147</v>
      </c>
      <c r="B161" s="11" t="s">
        <v>820</v>
      </c>
      <c r="C161" s="250" t="s">
        <v>276</v>
      </c>
      <c r="D161" s="220" t="s">
        <v>760</v>
      </c>
      <c r="E161" s="250" t="s">
        <v>10</v>
      </c>
      <c r="F161" s="251">
        <f>(4+4+4+4+4+4.6+4.6+11.71+18.07)*0.2*0.3</f>
        <v>3.5388000000000002</v>
      </c>
      <c r="G161" s="252"/>
      <c r="H161" s="253"/>
      <c r="I161" s="32"/>
    </row>
    <row r="162" spans="1:9" s="13" customFormat="1">
      <c r="A162" s="11" t="s">
        <v>311</v>
      </c>
      <c r="B162" s="11" t="s">
        <v>820</v>
      </c>
      <c r="C162" s="250" t="s">
        <v>438</v>
      </c>
      <c r="D162" s="220" t="s">
        <v>763</v>
      </c>
      <c r="E162" s="250" t="s">
        <v>10</v>
      </c>
      <c r="F162" s="251">
        <f>(4+4+4+4+4+4.6+4.6+11.71+18.07)*0.03*0.2</f>
        <v>0.35388000000000003</v>
      </c>
      <c r="G162" s="252"/>
      <c r="H162" s="254"/>
      <c r="I162" s="32"/>
    </row>
    <row r="163" spans="1:9" s="13" customFormat="1">
      <c r="A163" s="11" t="s">
        <v>312</v>
      </c>
      <c r="B163" s="11" t="s">
        <v>820</v>
      </c>
      <c r="C163" s="250" t="s">
        <v>758</v>
      </c>
      <c r="D163" s="220" t="s">
        <v>761</v>
      </c>
      <c r="E163" s="250" t="s">
        <v>9</v>
      </c>
      <c r="F163" s="251">
        <f>(11.71+18.07)*0.4</f>
        <v>11.912000000000001</v>
      </c>
      <c r="G163" s="252"/>
      <c r="H163" s="254"/>
      <c r="I163" s="32"/>
    </row>
    <row r="164" spans="1:9" s="13" customFormat="1">
      <c r="A164" s="11" t="s">
        <v>313</v>
      </c>
      <c r="B164" s="11" t="s">
        <v>820</v>
      </c>
      <c r="C164" s="250" t="s">
        <v>330</v>
      </c>
      <c r="D164" s="220" t="s">
        <v>762</v>
      </c>
      <c r="E164" s="250" t="s">
        <v>9</v>
      </c>
      <c r="F164" s="251">
        <f>(4+4+4+4+4+4.6+4.6)*0.4</f>
        <v>11.680000000000001</v>
      </c>
      <c r="G164" s="252"/>
      <c r="H164" s="254"/>
      <c r="I164" s="32"/>
    </row>
    <row r="165" spans="1:9" s="13" customFormat="1">
      <c r="A165" s="11" t="s">
        <v>314</v>
      </c>
      <c r="B165" s="11" t="s">
        <v>820</v>
      </c>
      <c r="C165" s="250" t="s">
        <v>305</v>
      </c>
      <c r="D165" s="220" t="s">
        <v>759</v>
      </c>
      <c r="E165" s="250" t="s">
        <v>10</v>
      </c>
      <c r="F165" s="251">
        <f>(4+4+4+4+4+4.6+4.6+11.71+18.07)*0.12*0.2</f>
        <v>1.4155200000000001</v>
      </c>
      <c r="G165" s="252"/>
      <c r="H165" s="254"/>
      <c r="I165" s="32"/>
    </row>
    <row r="166" spans="1:9" s="13" customFormat="1" ht="29.25">
      <c r="A166" s="11" t="s">
        <v>317</v>
      </c>
      <c r="B166" s="11" t="s">
        <v>820</v>
      </c>
      <c r="C166" s="11" t="s">
        <v>306</v>
      </c>
      <c r="D166" s="15" t="s">
        <v>308</v>
      </c>
      <c r="E166" s="11" t="s">
        <v>10</v>
      </c>
      <c r="F166" s="175">
        <f>F165</f>
        <v>1.4155200000000001</v>
      </c>
      <c r="G166" s="172"/>
      <c r="H166" s="12"/>
      <c r="I166" s="32"/>
    </row>
    <row r="167" spans="1:9" s="13" customFormat="1">
      <c r="A167" s="11" t="s">
        <v>341</v>
      </c>
      <c r="B167" s="11" t="s">
        <v>820</v>
      </c>
      <c r="C167" s="11" t="s">
        <v>722</v>
      </c>
      <c r="D167" s="15" t="s">
        <v>725</v>
      </c>
      <c r="E167" s="11" t="s">
        <v>9</v>
      </c>
      <c r="F167" s="10">
        <f>(12.49+4+18.07+4)*0.05</f>
        <v>1.9280000000000002</v>
      </c>
      <c r="G167" s="215"/>
      <c r="H167" s="12"/>
      <c r="I167" s="32"/>
    </row>
    <row r="168" spans="1:9" s="13" customFormat="1" ht="29.25">
      <c r="A168" s="11" t="s">
        <v>342</v>
      </c>
      <c r="B168" s="11" t="s">
        <v>820</v>
      </c>
      <c r="C168" s="30" t="s">
        <v>21</v>
      </c>
      <c r="D168" s="31" t="s">
        <v>20</v>
      </c>
      <c r="E168" s="25" t="s">
        <v>9</v>
      </c>
      <c r="F168" s="10">
        <v>95.1</v>
      </c>
      <c r="G168" s="12"/>
      <c r="H168" s="12"/>
      <c r="I168" s="32"/>
    </row>
    <row r="169" spans="1:9" s="13" customFormat="1" ht="29.25">
      <c r="A169" s="11" t="s">
        <v>343</v>
      </c>
      <c r="B169" s="11" t="s">
        <v>820</v>
      </c>
      <c r="C169" s="30" t="s">
        <v>508</v>
      </c>
      <c r="D169" s="15" t="s">
        <v>509</v>
      </c>
      <c r="E169" s="30" t="s">
        <v>9</v>
      </c>
      <c r="F169" s="171">
        <v>1.85</v>
      </c>
      <c r="G169" s="215"/>
      <c r="H169" s="12"/>
      <c r="I169" s="32"/>
    </row>
    <row r="170" spans="1:9" s="13" customFormat="1" ht="29.25">
      <c r="A170" s="11" t="s">
        <v>344</v>
      </c>
      <c r="B170" s="11" t="s">
        <v>820</v>
      </c>
      <c r="C170" s="11" t="s">
        <v>331</v>
      </c>
      <c r="D170" s="15" t="s">
        <v>719</v>
      </c>
      <c r="E170" s="25" t="s">
        <v>293</v>
      </c>
      <c r="F170" s="10">
        <f>39*1.2*3.7</f>
        <v>173.16</v>
      </c>
      <c r="G170" s="12"/>
      <c r="H170" s="12"/>
      <c r="I170" s="32"/>
    </row>
    <row r="171" spans="1:9" s="13" customFormat="1" ht="29.25">
      <c r="A171" s="11" t="s">
        <v>345</v>
      </c>
      <c r="B171" s="11" t="s">
        <v>820</v>
      </c>
      <c r="C171" s="11" t="s">
        <v>331</v>
      </c>
      <c r="D171" s="15" t="s">
        <v>726</v>
      </c>
      <c r="E171" s="25" t="s">
        <v>293</v>
      </c>
      <c r="F171" s="10">
        <f>(11.88+4+17.91+4)*2.79</f>
        <v>105.4341</v>
      </c>
      <c r="G171" s="12"/>
      <c r="H171" s="12"/>
      <c r="I171" s="32"/>
    </row>
    <row r="172" spans="1:9" s="13" customFormat="1" ht="29.25">
      <c r="A172" s="11" t="s">
        <v>414</v>
      </c>
      <c r="B172" s="11" t="s">
        <v>820</v>
      </c>
      <c r="C172" s="11" t="s">
        <v>331</v>
      </c>
      <c r="D172" s="15" t="s">
        <v>727</v>
      </c>
      <c r="E172" s="25" t="s">
        <v>293</v>
      </c>
      <c r="F172" s="10">
        <f>(11.88+4+17.91+4)*5*1.86</f>
        <v>351.447</v>
      </c>
      <c r="G172" s="12"/>
      <c r="H172" s="12"/>
      <c r="I172" s="32"/>
    </row>
    <row r="173" spans="1:9" s="13" customFormat="1" ht="29.25">
      <c r="A173" s="11" t="s">
        <v>415</v>
      </c>
      <c r="B173" s="11" t="s">
        <v>820</v>
      </c>
      <c r="C173" s="11" t="s">
        <v>331</v>
      </c>
      <c r="D173" s="15" t="s">
        <v>728</v>
      </c>
      <c r="E173" s="25" t="s">
        <v>293</v>
      </c>
      <c r="F173" s="10">
        <f>(((11.88+4+17.91+4)*2)+(0.4*8))*2.79</f>
        <v>219.7962</v>
      </c>
      <c r="G173" s="12"/>
      <c r="H173" s="12"/>
      <c r="I173" s="32"/>
    </row>
    <row r="174" spans="1:9" s="13" customFormat="1">
      <c r="A174" s="11" t="s">
        <v>416</v>
      </c>
      <c r="B174" s="11" t="s">
        <v>820</v>
      </c>
      <c r="C174" s="11" t="s">
        <v>51</v>
      </c>
      <c r="D174" s="15" t="s">
        <v>729</v>
      </c>
      <c r="E174" s="25" t="s">
        <v>9</v>
      </c>
      <c r="F174" s="10">
        <f>(11.88+4+17.91+4)*1.1</f>
        <v>41.569000000000003</v>
      </c>
      <c r="G174" s="12"/>
      <c r="H174" s="12"/>
      <c r="I174" s="32"/>
    </row>
    <row r="175" spans="1:9" s="13" customFormat="1" ht="29.25">
      <c r="A175" s="11" t="s">
        <v>635</v>
      </c>
      <c r="B175" s="11" t="s">
        <v>820</v>
      </c>
      <c r="C175" s="11" t="s">
        <v>730</v>
      </c>
      <c r="D175" s="15" t="s">
        <v>755</v>
      </c>
      <c r="E175" s="25" t="s">
        <v>9</v>
      </c>
      <c r="F175" s="10">
        <v>161</v>
      </c>
      <c r="G175" s="12"/>
      <c r="H175" s="12"/>
      <c r="I175" s="32"/>
    </row>
    <row r="176" spans="1:9" s="13" customFormat="1">
      <c r="A176" s="11"/>
      <c r="B176" s="14"/>
      <c r="C176" s="30"/>
      <c r="D176" s="218" t="s">
        <v>211</v>
      </c>
      <c r="E176" s="25"/>
      <c r="F176" s="10"/>
      <c r="G176" s="12"/>
      <c r="H176" s="17"/>
      <c r="I176" s="32"/>
    </row>
    <row r="177" spans="1:10" s="13" customFormat="1">
      <c r="A177" s="11"/>
      <c r="B177" s="14"/>
      <c r="C177" s="30"/>
      <c r="D177" s="31"/>
      <c r="E177" s="25"/>
      <c r="F177" s="10"/>
      <c r="G177" s="12"/>
      <c r="H177" s="12"/>
      <c r="I177" s="32"/>
    </row>
    <row r="178" spans="1:10" s="13" customFormat="1">
      <c r="A178" s="11"/>
      <c r="B178" s="14"/>
      <c r="C178" s="30"/>
      <c r="D178" s="238" t="s">
        <v>638</v>
      </c>
      <c r="E178" s="25"/>
      <c r="F178" s="10"/>
      <c r="G178" s="12"/>
      <c r="H178" s="17"/>
      <c r="I178" s="32">
        <f>H178*1.25</f>
        <v>0</v>
      </c>
    </row>
    <row r="179" spans="1:10" s="13" customFormat="1">
      <c r="A179" s="11"/>
      <c r="B179" s="14"/>
      <c r="C179" s="30"/>
      <c r="D179" s="31"/>
      <c r="E179" s="25"/>
      <c r="F179" s="10"/>
      <c r="G179" s="12"/>
      <c r="H179" s="12"/>
      <c r="I179" s="32"/>
    </row>
    <row r="180" spans="1:10" s="13" customFormat="1">
      <c r="A180" s="11"/>
      <c r="B180" s="14"/>
      <c r="C180" s="20"/>
      <c r="D180" s="180"/>
      <c r="E180" s="11"/>
      <c r="F180" s="10"/>
      <c r="G180" s="12"/>
      <c r="H180" s="12"/>
      <c r="I180" s="32"/>
    </row>
    <row r="181" spans="1:10" s="13" customFormat="1">
      <c r="A181" s="164" t="s">
        <v>423</v>
      </c>
      <c r="B181" s="164"/>
      <c r="C181" s="165"/>
      <c r="D181" s="166" t="s">
        <v>604</v>
      </c>
      <c r="E181" s="167"/>
      <c r="F181" s="167"/>
      <c r="G181" s="168"/>
      <c r="H181" s="8"/>
      <c r="I181" s="32"/>
    </row>
    <row r="182" spans="1:10" s="13" customFormat="1">
      <c r="A182" s="213">
        <v>1</v>
      </c>
      <c r="B182" s="214"/>
      <c r="C182" s="214"/>
      <c r="D182" s="214" t="s">
        <v>100</v>
      </c>
      <c r="E182" s="214"/>
      <c r="F182" s="214"/>
      <c r="G182" s="214"/>
      <c r="H182" s="214"/>
      <c r="I182" s="32"/>
    </row>
    <row r="183" spans="1:10" s="13" customFormat="1" ht="43.5">
      <c r="A183" s="14" t="s">
        <v>43</v>
      </c>
      <c r="B183" s="11" t="s">
        <v>820</v>
      </c>
      <c r="C183" s="30" t="s">
        <v>275</v>
      </c>
      <c r="D183" s="31" t="s">
        <v>824</v>
      </c>
      <c r="E183" s="30" t="s">
        <v>9</v>
      </c>
      <c r="F183" s="147">
        <f>8*13</f>
        <v>104</v>
      </c>
      <c r="G183" s="215"/>
      <c r="H183" s="215"/>
      <c r="I183" s="32"/>
    </row>
    <row r="184" spans="1:10" s="13" customFormat="1">
      <c r="A184" s="14" t="s">
        <v>44</v>
      </c>
      <c r="B184" s="11" t="s">
        <v>820</v>
      </c>
      <c r="C184" s="30" t="s">
        <v>320</v>
      </c>
      <c r="D184" s="2" t="s">
        <v>319</v>
      </c>
      <c r="E184" s="30" t="s">
        <v>9</v>
      </c>
      <c r="F184" s="147">
        <v>52.11</v>
      </c>
      <c r="G184" s="215"/>
      <c r="H184" s="215"/>
      <c r="I184" s="32"/>
    </row>
    <row r="185" spans="1:10" s="13" customFormat="1">
      <c r="A185" s="14" t="s">
        <v>45</v>
      </c>
      <c r="B185" s="11" t="s">
        <v>820</v>
      </c>
      <c r="C185" s="11" t="s">
        <v>693</v>
      </c>
      <c r="D185" s="15" t="s">
        <v>689</v>
      </c>
      <c r="E185" s="11" t="s">
        <v>691</v>
      </c>
      <c r="F185" s="10">
        <f>6*5</f>
        <v>30</v>
      </c>
      <c r="G185" s="12"/>
      <c r="H185" s="215"/>
      <c r="I185" s="32"/>
      <c r="J185" s="32"/>
    </row>
    <row r="186" spans="1:10" s="13" customFormat="1">
      <c r="A186" s="14" t="s">
        <v>135</v>
      </c>
      <c r="B186" s="11" t="s">
        <v>820</v>
      </c>
      <c r="C186" s="11" t="s">
        <v>692</v>
      </c>
      <c r="D186" s="15" t="s">
        <v>690</v>
      </c>
      <c r="E186" s="11" t="s">
        <v>150</v>
      </c>
      <c r="F186" s="10">
        <v>6</v>
      </c>
      <c r="G186" s="12"/>
      <c r="H186" s="215"/>
      <c r="I186" s="32"/>
    </row>
    <row r="187" spans="1:10" s="13" customFormat="1">
      <c r="A187" s="14" t="s">
        <v>174</v>
      </c>
      <c r="B187" s="11" t="s">
        <v>820</v>
      </c>
      <c r="C187" s="11" t="s">
        <v>736</v>
      </c>
      <c r="D187" s="15" t="s">
        <v>735</v>
      </c>
      <c r="E187" s="11" t="s">
        <v>737</v>
      </c>
      <c r="F187" s="10">
        <v>5</v>
      </c>
      <c r="G187" s="12"/>
      <c r="H187" s="215"/>
      <c r="I187" s="32"/>
    </row>
    <row r="188" spans="1:10" s="13" customFormat="1">
      <c r="A188" s="14"/>
      <c r="B188" s="11"/>
      <c r="C188" s="30"/>
      <c r="D188" s="218" t="s">
        <v>212</v>
      </c>
      <c r="E188" s="30"/>
      <c r="F188" s="147"/>
      <c r="G188" s="215"/>
      <c r="H188" s="216"/>
      <c r="I188" s="32"/>
    </row>
    <row r="189" spans="1:10" s="13" customFormat="1">
      <c r="A189" s="213">
        <v>2</v>
      </c>
      <c r="B189" s="214"/>
      <c r="C189" s="214"/>
      <c r="D189" s="217" t="s">
        <v>424</v>
      </c>
      <c r="E189" s="214"/>
      <c r="F189" s="214"/>
      <c r="G189" s="214"/>
      <c r="H189" s="214"/>
      <c r="I189" s="32"/>
    </row>
    <row r="190" spans="1:10" s="13" customFormat="1" ht="29.25">
      <c r="A190" s="14" t="s">
        <v>63</v>
      </c>
      <c r="B190" s="11" t="s">
        <v>820</v>
      </c>
      <c r="C190" s="11" t="s">
        <v>425</v>
      </c>
      <c r="D190" s="15" t="s">
        <v>607</v>
      </c>
      <c r="E190" s="11" t="s">
        <v>10</v>
      </c>
      <c r="F190" s="10">
        <f>(0.7*0.7*0.65*10)+(0.8*0.8*0.65*2)</f>
        <v>4.0169999999999995</v>
      </c>
      <c r="G190" s="12"/>
      <c r="H190" s="12"/>
      <c r="I190" s="32"/>
    </row>
    <row r="191" spans="1:10" s="13" customFormat="1" ht="29.25">
      <c r="A191" s="14" t="s">
        <v>64</v>
      </c>
      <c r="B191" s="11" t="s">
        <v>820</v>
      </c>
      <c r="C191" s="11" t="s">
        <v>605</v>
      </c>
      <c r="D191" s="15" t="s">
        <v>608</v>
      </c>
      <c r="E191" s="11" t="s">
        <v>10</v>
      </c>
      <c r="F191" s="10">
        <f>((4*4)+(3.2*2)+(3.28)+10.33+2.2)*0.3*0.35</f>
        <v>4.0120499999999995</v>
      </c>
      <c r="G191" s="12"/>
      <c r="H191" s="12"/>
      <c r="I191" s="32"/>
    </row>
    <row r="192" spans="1:10" s="13" customFormat="1">
      <c r="A192" s="14" t="s">
        <v>146</v>
      </c>
      <c r="B192" s="11" t="s">
        <v>820</v>
      </c>
      <c r="C192" s="11" t="s">
        <v>309</v>
      </c>
      <c r="D192" s="15" t="s">
        <v>426</v>
      </c>
      <c r="E192" s="11" t="s">
        <v>150</v>
      </c>
      <c r="F192" s="10">
        <f>14*3</f>
        <v>42</v>
      </c>
      <c r="G192" s="12"/>
      <c r="H192" s="12"/>
      <c r="I192" s="32"/>
    </row>
    <row r="193" spans="1:9" s="13" customFormat="1">
      <c r="A193" s="14" t="s">
        <v>147</v>
      </c>
      <c r="B193" s="11" t="s">
        <v>820</v>
      </c>
      <c r="C193" s="11" t="s">
        <v>632</v>
      </c>
      <c r="D193" s="15" t="s">
        <v>646</v>
      </c>
      <c r="E193" s="11" t="s">
        <v>10</v>
      </c>
      <c r="F193" s="10">
        <f>((0.7*0.7*10)+(0.8*0.8*2))*0.03+(38.21*0.3*0.03)</f>
        <v>0.52928999999999993</v>
      </c>
      <c r="G193" s="12"/>
      <c r="H193" s="12"/>
      <c r="I193" s="32"/>
    </row>
    <row r="194" spans="1:9" s="13" customFormat="1">
      <c r="A194" s="14" t="s">
        <v>311</v>
      </c>
      <c r="B194" s="11" t="s">
        <v>820</v>
      </c>
      <c r="C194" s="11" t="s">
        <v>329</v>
      </c>
      <c r="D194" s="15" t="s">
        <v>427</v>
      </c>
      <c r="E194" s="11" t="s">
        <v>10</v>
      </c>
      <c r="F194" s="10">
        <f>(0.7*0.7*0.35*10)+(0.8*0.8*0.35*2)</f>
        <v>2.1629999999999998</v>
      </c>
      <c r="G194" s="12"/>
      <c r="H194" s="12"/>
      <c r="I194" s="32"/>
    </row>
    <row r="195" spans="1:9" s="13" customFormat="1" ht="29.25">
      <c r="A195" s="14" t="s">
        <v>312</v>
      </c>
      <c r="B195" s="11" t="s">
        <v>820</v>
      </c>
      <c r="C195" s="11" t="s">
        <v>306</v>
      </c>
      <c r="D195" s="15" t="s">
        <v>428</v>
      </c>
      <c r="E195" s="11" t="s">
        <v>10</v>
      </c>
      <c r="F195" s="10">
        <f>F194</f>
        <v>2.1629999999999998</v>
      </c>
      <c r="G195" s="12"/>
      <c r="H195" s="12"/>
      <c r="I195" s="32"/>
    </row>
    <row r="196" spans="1:9" s="13" customFormat="1">
      <c r="A196" s="14" t="s">
        <v>313</v>
      </c>
      <c r="B196" s="11" t="s">
        <v>820</v>
      </c>
      <c r="C196" s="11" t="s">
        <v>307</v>
      </c>
      <c r="D196" s="15" t="s">
        <v>429</v>
      </c>
      <c r="E196" s="11" t="s">
        <v>430</v>
      </c>
      <c r="F196" s="10">
        <f>(7.68*2*10)*0.25</f>
        <v>38.4</v>
      </c>
      <c r="G196" s="12"/>
      <c r="H196" s="12"/>
      <c r="I196" s="32"/>
    </row>
    <row r="197" spans="1:9" s="13" customFormat="1" ht="29.25">
      <c r="A197" s="14" t="s">
        <v>314</v>
      </c>
      <c r="B197" s="11" t="s">
        <v>820</v>
      </c>
      <c r="C197" s="11" t="s">
        <v>292</v>
      </c>
      <c r="D197" s="15" t="s">
        <v>609</v>
      </c>
      <c r="E197" s="11" t="s">
        <v>430</v>
      </c>
      <c r="F197" s="10">
        <f>(9.54*2*2)*0.4+(0.4+4*1.5*12)*0.56</f>
        <v>55.808000000000007</v>
      </c>
      <c r="G197" s="12"/>
      <c r="H197" s="12"/>
      <c r="I197" s="32"/>
    </row>
    <row r="198" spans="1:9" s="13" customFormat="1">
      <c r="A198" s="14" t="s">
        <v>317</v>
      </c>
      <c r="B198" s="11" t="s">
        <v>820</v>
      </c>
      <c r="C198" s="11" t="s">
        <v>329</v>
      </c>
      <c r="D198" s="15" t="s">
        <v>431</v>
      </c>
      <c r="E198" s="11" t="s">
        <v>10</v>
      </c>
      <c r="F198" s="10">
        <f>((4*4)+(3.2*2)+(3.28)+10.33+2.2)*0.2*0.3</f>
        <v>2.2926000000000002</v>
      </c>
      <c r="G198" s="12"/>
      <c r="H198" s="12"/>
      <c r="I198" s="32"/>
    </row>
    <row r="199" spans="1:9" s="13" customFormat="1" ht="29.25">
      <c r="A199" s="14" t="s">
        <v>341</v>
      </c>
      <c r="B199" s="11" t="s">
        <v>820</v>
      </c>
      <c r="C199" s="11" t="s">
        <v>306</v>
      </c>
      <c r="D199" s="15" t="s">
        <v>432</v>
      </c>
      <c r="E199" s="11" t="s">
        <v>10</v>
      </c>
      <c r="F199" s="10">
        <f>F198</f>
        <v>2.2926000000000002</v>
      </c>
      <c r="G199" s="12"/>
      <c r="H199" s="12"/>
      <c r="I199" s="32"/>
    </row>
    <row r="200" spans="1:9" s="13" customFormat="1">
      <c r="A200" s="14" t="s">
        <v>342</v>
      </c>
      <c r="B200" s="11" t="s">
        <v>820</v>
      </c>
      <c r="C200" s="11" t="s">
        <v>292</v>
      </c>
      <c r="D200" s="15" t="s">
        <v>433</v>
      </c>
      <c r="E200" s="11" t="s">
        <v>430</v>
      </c>
      <c r="F200" s="10">
        <f>((4*4)+(3.2*2)+(3.28)+10.33+2.2)*4*0.56+(38.21*0.4)</f>
        <v>100.87440000000002</v>
      </c>
      <c r="G200" s="12"/>
      <c r="H200" s="12"/>
      <c r="I200" s="32"/>
    </row>
    <row r="201" spans="1:9" s="13" customFormat="1">
      <c r="A201" s="14" t="s">
        <v>343</v>
      </c>
      <c r="B201" s="11" t="s">
        <v>820</v>
      </c>
      <c r="C201" s="11" t="s">
        <v>307</v>
      </c>
      <c r="D201" s="15" t="s">
        <v>434</v>
      </c>
      <c r="E201" s="11" t="s">
        <v>430</v>
      </c>
      <c r="F201" s="10">
        <f>(38.21/0.15)*0.95*0.2</f>
        <v>48.399333333333338</v>
      </c>
      <c r="G201" s="12"/>
      <c r="H201" s="12"/>
      <c r="I201" s="32"/>
    </row>
    <row r="202" spans="1:9" s="13" customFormat="1">
      <c r="A202" s="14" t="s">
        <v>344</v>
      </c>
      <c r="B202" s="11" t="s">
        <v>820</v>
      </c>
      <c r="C202" s="11" t="s">
        <v>330</v>
      </c>
      <c r="D202" s="15" t="s">
        <v>435</v>
      </c>
      <c r="E202" s="11" t="s">
        <v>9</v>
      </c>
      <c r="F202" s="10">
        <f>38.21*0.6</f>
        <v>22.925999999999998</v>
      </c>
      <c r="G202" s="12"/>
      <c r="H202" s="12"/>
      <c r="I202" s="32"/>
    </row>
    <row r="203" spans="1:9" s="13" customFormat="1" ht="29.25">
      <c r="A203" s="14" t="s">
        <v>345</v>
      </c>
      <c r="B203" s="11" t="s">
        <v>820</v>
      </c>
      <c r="C203" s="11" t="s">
        <v>244</v>
      </c>
      <c r="D203" s="15" t="s">
        <v>436</v>
      </c>
      <c r="E203" s="11" t="s">
        <v>9</v>
      </c>
      <c r="F203" s="10">
        <f>38.21*1.1</f>
        <v>42.031000000000006</v>
      </c>
      <c r="G203" s="12"/>
      <c r="H203" s="12"/>
      <c r="I203" s="32"/>
    </row>
    <row r="204" spans="1:9" s="13" customFormat="1" ht="29.25">
      <c r="A204" s="14" t="s">
        <v>414</v>
      </c>
      <c r="B204" s="11" t="s">
        <v>820</v>
      </c>
      <c r="C204" s="11" t="s">
        <v>247</v>
      </c>
      <c r="D204" s="15" t="s">
        <v>437</v>
      </c>
      <c r="E204" s="11" t="s">
        <v>10</v>
      </c>
      <c r="F204" s="10">
        <f>F203*0.02</f>
        <v>0.84062000000000014</v>
      </c>
      <c r="G204" s="12"/>
      <c r="H204" s="12"/>
      <c r="I204" s="32"/>
    </row>
    <row r="205" spans="1:9" s="13" customFormat="1">
      <c r="A205" s="14" t="s">
        <v>415</v>
      </c>
      <c r="B205" s="11" t="s">
        <v>820</v>
      </c>
      <c r="C205" s="11" t="s">
        <v>438</v>
      </c>
      <c r="D205" s="15" t="s">
        <v>439</v>
      </c>
      <c r="E205" s="11" t="s">
        <v>10</v>
      </c>
      <c r="F205" s="10">
        <f>(12.82+12.82+12.12+3.38+3.38)*0.15+(0.7*0.7*10*0.3)+(0.8*0.8*2*0.3)</f>
        <v>8.532</v>
      </c>
      <c r="G205" s="12"/>
      <c r="H205" s="12"/>
      <c r="I205" s="32"/>
    </row>
    <row r="206" spans="1:9" s="13" customFormat="1">
      <c r="A206" s="14" t="s">
        <v>416</v>
      </c>
      <c r="B206" s="11" t="s">
        <v>820</v>
      </c>
      <c r="C206" s="11" t="s">
        <v>440</v>
      </c>
      <c r="D206" s="15" t="s">
        <v>441</v>
      </c>
      <c r="E206" s="11" t="s">
        <v>10</v>
      </c>
      <c r="F206" s="10">
        <f>38.21*0.15*0.2</f>
        <v>1.1462999999999999</v>
      </c>
      <c r="G206" s="12"/>
      <c r="H206" s="12"/>
      <c r="I206" s="32"/>
    </row>
    <row r="207" spans="1:9" s="13" customFormat="1">
      <c r="A207" s="30"/>
      <c r="B207" s="14"/>
      <c r="C207" s="11"/>
      <c r="D207" s="218" t="s">
        <v>211</v>
      </c>
      <c r="E207" s="11"/>
      <c r="F207" s="10"/>
      <c r="G207" s="12"/>
      <c r="H207" s="17"/>
      <c r="I207" s="32"/>
    </row>
    <row r="208" spans="1:9" s="13" customFormat="1">
      <c r="A208" s="213">
        <v>3</v>
      </c>
      <c r="B208" s="214"/>
      <c r="C208" s="214"/>
      <c r="D208" s="214" t="s">
        <v>442</v>
      </c>
      <c r="E208" s="214"/>
      <c r="F208" s="214"/>
      <c r="G208" s="214"/>
      <c r="H208" s="214"/>
      <c r="I208" s="32"/>
    </row>
    <row r="209" spans="1:9" s="13" customFormat="1">
      <c r="A209" s="30" t="s">
        <v>65</v>
      </c>
      <c r="B209" s="11" t="s">
        <v>820</v>
      </c>
      <c r="C209" s="11" t="s">
        <v>329</v>
      </c>
      <c r="D209" s="15" t="s">
        <v>443</v>
      </c>
      <c r="E209" s="11" t="s">
        <v>10</v>
      </c>
      <c r="F209" s="10">
        <f>(0.15*0.25*3*6)+(0.15*0.25*4*6)+(0.15*0.25*2.5*6)</f>
        <v>2.1374999999999997</v>
      </c>
      <c r="G209" s="12"/>
      <c r="H209" s="12"/>
      <c r="I209" s="32"/>
    </row>
    <row r="210" spans="1:9" s="13" customFormat="1" ht="29.25">
      <c r="A210" s="30" t="s">
        <v>66</v>
      </c>
      <c r="B210" s="11" t="s">
        <v>820</v>
      </c>
      <c r="C210" s="11" t="s">
        <v>306</v>
      </c>
      <c r="D210" s="15" t="s">
        <v>444</v>
      </c>
      <c r="E210" s="11" t="s">
        <v>10</v>
      </c>
      <c r="F210" s="10">
        <f>F209</f>
        <v>2.1374999999999997</v>
      </c>
      <c r="G210" s="12"/>
      <c r="H210" s="12"/>
      <c r="I210" s="32"/>
    </row>
    <row r="211" spans="1:9" s="13" customFormat="1">
      <c r="A211" s="30" t="s">
        <v>67</v>
      </c>
      <c r="B211" s="11" t="s">
        <v>820</v>
      </c>
      <c r="C211" s="11" t="s">
        <v>310</v>
      </c>
      <c r="D211" s="15" t="s">
        <v>445</v>
      </c>
      <c r="E211" s="11" t="s">
        <v>9</v>
      </c>
      <c r="F211" s="10">
        <f>(3*3*12)*0.3</f>
        <v>32.4</v>
      </c>
      <c r="G211" s="12"/>
      <c r="H211" s="12"/>
      <c r="I211" s="32"/>
    </row>
    <row r="212" spans="1:9" s="13" customFormat="1">
      <c r="A212" s="30" t="s">
        <v>68</v>
      </c>
      <c r="B212" s="11" t="s">
        <v>820</v>
      </c>
      <c r="C212" s="11" t="s">
        <v>292</v>
      </c>
      <c r="D212" s="15" t="s">
        <v>446</v>
      </c>
      <c r="E212" s="11" t="s">
        <v>430</v>
      </c>
      <c r="F212" s="10">
        <f>(4*4*3)*0.56+(6*4*6)*0.56+(6*3*2)*0.56+(4*2.5*6)</f>
        <v>187.68</v>
      </c>
      <c r="G212" s="12"/>
      <c r="H212" s="12"/>
      <c r="I212" s="32"/>
    </row>
    <row r="213" spans="1:9" s="13" customFormat="1">
      <c r="A213" s="30" t="s">
        <v>69</v>
      </c>
      <c r="B213" s="11" t="s">
        <v>820</v>
      </c>
      <c r="C213" s="11" t="s">
        <v>307</v>
      </c>
      <c r="D213" s="15" t="s">
        <v>447</v>
      </c>
      <c r="E213" s="11" t="s">
        <v>430</v>
      </c>
      <c r="F213" s="10">
        <f>((12*3/0.12)*0.75*0.2)+18.5</f>
        <v>63.5</v>
      </c>
      <c r="G213" s="12"/>
      <c r="H213" s="12"/>
      <c r="I213" s="32"/>
    </row>
    <row r="214" spans="1:9" s="13" customFormat="1">
      <c r="A214" s="30" t="s">
        <v>321</v>
      </c>
      <c r="B214" s="11" t="s">
        <v>820</v>
      </c>
      <c r="C214" s="11" t="s">
        <v>448</v>
      </c>
      <c r="D214" s="15" t="s">
        <v>449</v>
      </c>
      <c r="E214" s="11" t="s">
        <v>10</v>
      </c>
      <c r="F214" s="10">
        <f>(4+4+3.5+13.5+1.8+1.8)*0.15*0.2+(4+4+3.5)*0.2*0.15</f>
        <v>1.2030000000000001</v>
      </c>
      <c r="G214" s="12"/>
      <c r="H214" s="12"/>
      <c r="I214" s="32">
        <f>H209+H210+H211+H212+H213+H214+H216+H215+H217+H218+H219+H220+H221+H222+H223</f>
        <v>0</v>
      </c>
    </row>
    <row r="215" spans="1:9" s="13" customFormat="1">
      <c r="A215" s="30" t="s">
        <v>322</v>
      </c>
      <c r="B215" s="11" t="s">
        <v>820</v>
      </c>
      <c r="C215" s="11" t="s">
        <v>329</v>
      </c>
      <c r="D215" s="15" t="s">
        <v>450</v>
      </c>
      <c r="E215" s="11" t="s">
        <v>10</v>
      </c>
      <c r="F215" s="10">
        <f>((10.33+(2*4)+3.28+(3.2*2))*0.15*0.25)+(((6.26*2)+3.28)*0.15*0.35)</f>
        <v>1.8798749999999997</v>
      </c>
      <c r="G215" s="12"/>
      <c r="H215" s="12"/>
      <c r="I215" s="32"/>
    </row>
    <row r="216" spans="1:9" s="13" customFormat="1" ht="29.25">
      <c r="A216" s="30" t="s">
        <v>323</v>
      </c>
      <c r="B216" s="11" t="s">
        <v>820</v>
      </c>
      <c r="C216" s="11" t="s">
        <v>306</v>
      </c>
      <c r="D216" s="15" t="s">
        <v>451</v>
      </c>
      <c r="E216" s="11" t="s">
        <v>10</v>
      </c>
      <c r="F216" s="10">
        <f>F215</f>
        <v>1.8798749999999997</v>
      </c>
      <c r="G216" s="12"/>
      <c r="H216" s="12"/>
      <c r="I216" s="32"/>
    </row>
    <row r="217" spans="1:9" s="13" customFormat="1">
      <c r="A217" s="30" t="s">
        <v>324</v>
      </c>
      <c r="B217" s="11" t="s">
        <v>820</v>
      </c>
      <c r="C217" s="11" t="s">
        <v>310</v>
      </c>
      <c r="D217" s="15" t="s">
        <v>452</v>
      </c>
      <c r="E217" s="11" t="s">
        <v>9</v>
      </c>
      <c r="F217" s="10">
        <f>((10.33+(2*4)+3.28+(3.2*2))*0.5)+((6.26*2)+3.28)*0.7</f>
        <v>25.064999999999998</v>
      </c>
      <c r="G217" s="12"/>
      <c r="H217" s="12"/>
      <c r="I217" s="32"/>
    </row>
    <row r="218" spans="1:9" s="13" customFormat="1">
      <c r="A218" s="30" t="s">
        <v>325</v>
      </c>
      <c r="B218" s="11" t="s">
        <v>820</v>
      </c>
      <c r="C218" s="11" t="s">
        <v>292</v>
      </c>
      <c r="D218" s="15" t="s">
        <v>453</v>
      </c>
      <c r="E218" s="11" t="s">
        <v>430</v>
      </c>
      <c r="F218" s="10">
        <f>(28.01*4*0.56)+(3*12.52*1)+(2*12.52*0.56)+(3.62*5*0.56)</f>
        <v>124.46080000000001</v>
      </c>
      <c r="G218" s="12"/>
      <c r="H218" s="12"/>
      <c r="I218" s="32"/>
    </row>
    <row r="219" spans="1:9" s="13" customFormat="1">
      <c r="A219" s="30" t="s">
        <v>326</v>
      </c>
      <c r="B219" s="11" t="s">
        <v>820</v>
      </c>
      <c r="C219" s="11" t="s">
        <v>307</v>
      </c>
      <c r="D219" s="15" t="s">
        <v>454</v>
      </c>
      <c r="E219" s="11" t="s">
        <v>430</v>
      </c>
      <c r="F219" s="10">
        <f>(28.01/0.12)*0.75*0.2+(16.14/0.15)*0.85*0.2</f>
        <v>53.304500000000004</v>
      </c>
      <c r="G219" s="12"/>
      <c r="H219" s="12"/>
      <c r="I219" s="32"/>
    </row>
    <row r="220" spans="1:9" s="13" customFormat="1" ht="29.25">
      <c r="A220" s="30" t="s">
        <v>327</v>
      </c>
      <c r="B220" s="11" t="s">
        <v>820</v>
      </c>
      <c r="C220" s="11" t="s">
        <v>455</v>
      </c>
      <c r="D220" s="15" t="s">
        <v>456</v>
      </c>
      <c r="E220" s="11" t="s">
        <v>10</v>
      </c>
      <c r="F220" s="10">
        <f>(32.82*0.05)</f>
        <v>1.641</v>
      </c>
      <c r="G220" s="12"/>
      <c r="H220" s="12"/>
      <c r="I220" s="32"/>
    </row>
    <row r="221" spans="1:9" s="13" customFormat="1" ht="29.25">
      <c r="A221" s="30" t="s">
        <v>328</v>
      </c>
      <c r="B221" s="11" t="s">
        <v>820</v>
      </c>
      <c r="C221" s="11" t="s">
        <v>457</v>
      </c>
      <c r="D221" s="15" t="s">
        <v>458</v>
      </c>
      <c r="E221" s="11" t="s">
        <v>9</v>
      </c>
      <c r="F221" s="10">
        <f>39.07</f>
        <v>39.07</v>
      </c>
      <c r="G221" s="12"/>
      <c r="H221" s="12"/>
      <c r="I221" s="32"/>
    </row>
    <row r="222" spans="1:9" s="13" customFormat="1">
      <c r="A222" s="30" t="s">
        <v>739</v>
      </c>
      <c r="B222" s="11" t="s">
        <v>820</v>
      </c>
      <c r="C222" s="11" t="s">
        <v>307</v>
      </c>
      <c r="D222" s="15" t="s">
        <v>610</v>
      </c>
      <c r="E222" s="11" t="s">
        <v>430</v>
      </c>
      <c r="F222" s="10">
        <f>(6.25/0.25)*6.25*0.2</f>
        <v>31.25</v>
      </c>
      <c r="G222" s="12"/>
      <c r="H222" s="12"/>
      <c r="I222" s="32"/>
    </row>
    <row r="223" spans="1:9" s="13" customFormat="1">
      <c r="A223" s="30" t="s">
        <v>740</v>
      </c>
      <c r="B223" s="11" t="s">
        <v>820</v>
      </c>
      <c r="C223" s="11" t="s">
        <v>310</v>
      </c>
      <c r="D223" s="15" t="s">
        <v>741</v>
      </c>
      <c r="E223" s="11" t="s">
        <v>9</v>
      </c>
      <c r="F223" s="10">
        <f>32.96*0.15</f>
        <v>4.944</v>
      </c>
      <c r="G223" s="12"/>
      <c r="H223" s="12"/>
      <c r="I223" s="32"/>
    </row>
    <row r="224" spans="1:9" s="13" customFormat="1">
      <c r="A224" s="30"/>
      <c r="B224" s="14"/>
      <c r="C224" s="11"/>
      <c r="D224" s="218" t="s">
        <v>215</v>
      </c>
      <c r="E224" s="11"/>
      <c r="F224" s="10"/>
      <c r="G224" s="12"/>
      <c r="H224" s="17"/>
      <c r="I224" s="32"/>
    </row>
    <row r="225" spans="1:9" s="13" customFormat="1">
      <c r="A225" s="213">
        <v>4</v>
      </c>
      <c r="B225" s="214"/>
      <c r="C225" s="214"/>
      <c r="D225" s="214" t="s">
        <v>459</v>
      </c>
      <c r="E225" s="214"/>
      <c r="F225" s="214"/>
      <c r="G225" s="214"/>
      <c r="H225" s="214"/>
      <c r="I225" s="32"/>
    </row>
    <row r="226" spans="1:9" s="13" customFormat="1">
      <c r="A226" s="30" t="s">
        <v>50</v>
      </c>
      <c r="B226" s="11" t="s">
        <v>820</v>
      </c>
      <c r="C226" s="11" t="s">
        <v>460</v>
      </c>
      <c r="D226" s="15" t="s">
        <v>461</v>
      </c>
      <c r="E226" s="11" t="s">
        <v>9</v>
      </c>
      <c r="F226" s="10">
        <f>(32.25+2.2+2.2+2.2+2.4)*2.8</f>
        <v>115.50000000000001</v>
      </c>
      <c r="G226" s="12"/>
      <c r="H226" s="12"/>
      <c r="I226" s="32"/>
    </row>
    <row r="227" spans="1:9" s="13" customFormat="1">
      <c r="A227" s="30" t="s">
        <v>52</v>
      </c>
      <c r="B227" s="11" t="s">
        <v>820</v>
      </c>
      <c r="C227" s="11" t="s">
        <v>462</v>
      </c>
      <c r="D227" s="15" t="s">
        <v>463</v>
      </c>
      <c r="E227" s="11" t="s">
        <v>9</v>
      </c>
      <c r="F227" s="171">
        <f>(0.45*4+0.35*2)*2+1.35*2*4</f>
        <v>15.8</v>
      </c>
      <c r="G227" s="12"/>
      <c r="H227" s="12"/>
      <c r="I227" s="32"/>
    </row>
    <row r="228" spans="1:9" s="13" customFormat="1">
      <c r="A228" s="30"/>
      <c r="B228" s="14"/>
      <c r="C228" s="11"/>
      <c r="D228" s="218" t="s">
        <v>238</v>
      </c>
      <c r="E228" s="11"/>
      <c r="F228" s="171"/>
      <c r="G228" s="12"/>
      <c r="H228" s="17"/>
      <c r="I228" s="32"/>
    </row>
    <row r="229" spans="1:9" s="13" customFormat="1">
      <c r="A229" s="213">
        <v>5</v>
      </c>
      <c r="B229" s="214"/>
      <c r="C229" s="214"/>
      <c r="D229" s="214" t="s">
        <v>464</v>
      </c>
      <c r="E229" s="214"/>
      <c r="F229" s="214"/>
      <c r="G229" s="214"/>
      <c r="H229" s="214"/>
      <c r="I229" s="32"/>
    </row>
    <row r="230" spans="1:9" s="13" customFormat="1" ht="29.25">
      <c r="A230" s="11" t="s">
        <v>270</v>
      </c>
      <c r="B230" s="11" t="s">
        <v>820</v>
      </c>
      <c r="C230" s="11" t="s">
        <v>822</v>
      </c>
      <c r="D230" s="15" t="s">
        <v>821</v>
      </c>
      <c r="E230" s="11" t="s">
        <v>293</v>
      </c>
      <c r="F230" s="10">
        <f>((3.3*8)+(3.38*8))*4.39</f>
        <v>234.60159999999996</v>
      </c>
      <c r="G230" s="12"/>
      <c r="H230" s="12"/>
      <c r="I230" s="32"/>
    </row>
    <row r="231" spans="1:9" s="13" customFormat="1" ht="29.25">
      <c r="A231" s="30" t="s">
        <v>271</v>
      </c>
      <c r="B231" s="11" t="s">
        <v>820</v>
      </c>
      <c r="C231" s="11" t="s">
        <v>316</v>
      </c>
      <c r="D231" s="15" t="s">
        <v>465</v>
      </c>
      <c r="E231" s="11" t="s">
        <v>9</v>
      </c>
      <c r="F231" s="10">
        <f>47.11</f>
        <v>47.11</v>
      </c>
      <c r="G231" s="215"/>
      <c r="H231" s="12"/>
      <c r="I231" s="32"/>
    </row>
    <row r="232" spans="1:9" s="13" customFormat="1">
      <c r="A232" s="30" t="s">
        <v>272</v>
      </c>
      <c r="B232" s="11" t="s">
        <v>820</v>
      </c>
      <c r="C232" s="11" t="s">
        <v>466</v>
      </c>
      <c r="D232" s="15" t="s">
        <v>467</v>
      </c>
      <c r="E232" s="11" t="s">
        <v>150</v>
      </c>
      <c r="F232" s="10">
        <f>41.45+3.28</f>
        <v>44.730000000000004</v>
      </c>
      <c r="G232" s="215"/>
      <c r="H232" s="12"/>
      <c r="I232" s="32"/>
    </row>
    <row r="233" spans="1:9" s="13" customFormat="1">
      <c r="A233" s="30" t="s">
        <v>273</v>
      </c>
      <c r="B233" s="11" t="s">
        <v>820</v>
      </c>
      <c r="C233" s="11" t="s">
        <v>469</v>
      </c>
      <c r="D233" s="15" t="s">
        <v>611</v>
      </c>
      <c r="E233" s="11" t="s">
        <v>150</v>
      </c>
      <c r="F233" s="10">
        <f>10+3.28</f>
        <v>13.28</v>
      </c>
      <c r="G233" s="215"/>
      <c r="H233" s="12"/>
      <c r="I233" s="32"/>
    </row>
    <row r="234" spans="1:9" s="13" customFormat="1" ht="29.25">
      <c r="A234" s="30" t="s">
        <v>468</v>
      </c>
      <c r="B234" s="11" t="s">
        <v>820</v>
      </c>
      <c r="C234" s="11" t="s">
        <v>470</v>
      </c>
      <c r="D234" s="220" t="s">
        <v>612</v>
      </c>
      <c r="E234" s="30" t="s">
        <v>150</v>
      </c>
      <c r="F234" s="147">
        <f>3*2</f>
        <v>6</v>
      </c>
      <c r="G234" s="215"/>
      <c r="H234" s="221"/>
      <c r="I234" s="32"/>
    </row>
    <row r="235" spans="1:9" s="13" customFormat="1">
      <c r="A235" s="30"/>
      <c r="B235" s="11"/>
      <c r="C235" s="11"/>
      <c r="D235" s="15"/>
      <c r="E235" s="11"/>
      <c r="F235" s="10"/>
      <c r="G235" s="215"/>
      <c r="H235" s="12"/>
      <c r="I235" s="32"/>
    </row>
    <row r="236" spans="1:9" s="13" customFormat="1">
      <c r="A236" s="30"/>
      <c r="B236" s="14"/>
      <c r="C236" s="11"/>
      <c r="D236" s="218" t="s">
        <v>258</v>
      </c>
      <c r="E236" s="11"/>
      <c r="F236" s="171"/>
      <c r="G236" s="215"/>
      <c r="H236" s="17"/>
      <c r="I236" s="32"/>
    </row>
    <row r="237" spans="1:9" s="13" customFormat="1">
      <c r="A237" s="213">
        <v>6</v>
      </c>
      <c r="B237" s="214"/>
      <c r="C237" s="214"/>
      <c r="D237" s="214" t="s">
        <v>471</v>
      </c>
      <c r="E237" s="214"/>
      <c r="F237" s="214"/>
      <c r="G237" s="214"/>
      <c r="H237" s="214"/>
      <c r="I237" s="32"/>
    </row>
    <row r="238" spans="1:9" s="13" customFormat="1">
      <c r="A238" s="30" t="s">
        <v>260</v>
      </c>
      <c r="B238" s="11" t="s">
        <v>820</v>
      </c>
      <c r="C238" s="11" t="s">
        <v>281</v>
      </c>
      <c r="D238" s="15" t="s">
        <v>615</v>
      </c>
      <c r="E238" s="11" t="s">
        <v>9</v>
      </c>
      <c r="F238" s="10">
        <f>((16.81*2)+(7.48*2))+((33.02*3.2)+((33.5*1))+(12.3*2.5))+((16.81*2)+(7.48*2))+(7.51*1.05)</f>
        <v>274.95949999999999</v>
      </c>
      <c r="G238" s="215"/>
      <c r="H238" s="12"/>
      <c r="I238" s="32"/>
    </row>
    <row r="239" spans="1:9" s="13" customFormat="1">
      <c r="A239" s="30" t="s">
        <v>472</v>
      </c>
      <c r="B239" s="11" t="s">
        <v>820</v>
      </c>
      <c r="C239" s="11" t="s">
        <v>280</v>
      </c>
      <c r="D239" s="15" t="s">
        <v>616</v>
      </c>
      <c r="E239" s="11" t="s">
        <v>9</v>
      </c>
      <c r="F239" s="10">
        <f>F238</f>
        <v>274.95949999999999</v>
      </c>
      <c r="G239" s="215"/>
      <c r="H239" s="12"/>
      <c r="I239" s="32"/>
    </row>
    <row r="240" spans="1:9" s="13" customFormat="1" ht="29.25">
      <c r="A240" s="30" t="s">
        <v>473</v>
      </c>
      <c r="B240" s="11" t="s">
        <v>820</v>
      </c>
      <c r="C240" s="11" t="s">
        <v>474</v>
      </c>
      <c r="D240" s="15" t="s">
        <v>475</v>
      </c>
      <c r="E240" s="11" t="s">
        <v>9</v>
      </c>
      <c r="F240" s="10">
        <f>((16.81*2)+(7.48*2))*2*1.05</f>
        <v>102.018</v>
      </c>
      <c r="G240" s="215"/>
      <c r="H240" s="12"/>
      <c r="I240" s="32"/>
    </row>
    <row r="241" spans="1:9" s="13" customFormat="1" ht="29.25">
      <c r="A241" s="30" t="s">
        <v>476</v>
      </c>
      <c r="B241" s="11" t="s">
        <v>820</v>
      </c>
      <c r="C241" s="11" t="s">
        <v>477</v>
      </c>
      <c r="D241" s="15" t="s">
        <v>478</v>
      </c>
      <c r="E241" s="11" t="s">
        <v>9</v>
      </c>
      <c r="F241" s="10">
        <f>16.81*2+7.48*2</f>
        <v>48.58</v>
      </c>
      <c r="G241" s="215"/>
      <c r="H241" s="12"/>
      <c r="I241" s="32"/>
    </row>
    <row r="242" spans="1:9" s="13" customFormat="1">
      <c r="A242" s="30" t="s">
        <v>742</v>
      </c>
      <c r="B242" s="11" t="s">
        <v>820</v>
      </c>
      <c r="C242" s="11" t="s">
        <v>210</v>
      </c>
      <c r="D242" s="15" t="s">
        <v>479</v>
      </c>
      <c r="E242" s="11" t="s">
        <v>150</v>
      </c>
      <c r="F242" s="10">
        <f>(4*0.9)</f>
        <v>3.6</v>
      </c>
      <c r="G242" s="215"/>
      <c r="H242" s="12"/>
      <c r="I242" s="32"/>
    </row>
    <row r="243" spans="1:9" s="13" customFormat="1">
      <c r="A243" s="30" t="s">
        <v>743</v>
      </c>
      <c r="B243" s="11" t="s">
        <v>820</v>
      </c>
      <c r="C243" s="11" t="s">
        <v>480</v>
      </c>
      <c r="D243" s="220" t="s">
        <v>481</v>
      </c>
      <c r="E243" s="11" t="s">
        <v>9</v>
      </c>
      <c r="F243" s="10">
        <f>1.01*2</f>
        <v>2.02</v>
      </c>
      <c r="G243" s="12"/>
      <c r="H243" s="12"/>
      <c r="I243" s="32"/>
    </row>
    <row r="244" spans="1:9" s="13" customFormat="1">
      <c r="A244" s="30"/>
      <c r="B244" s="14"/>
      <c r="C244" s="11"/>
      <c r="D244" s="218" t="s">
        <v>870</v>
      </c>
      <c r="E244" s="11"/>
      <c r="F244" s="10"/>
      <c r="G244" s="12"/>
      <c r="H244" s="17"/>
      <c r="I244" s="32"/>
    </row>
    <row r="245" spans="1:9" s="13" customFormat="1">
      <c r="A245" s="213">
        <v>7</v>
      </c>
      <c r="B245" s="214"/>
      <c r="C245" s="214"/>
      <c r="D245" s="214" t="s">
        <v>482</v>
      </c>
      <c r="E245" s="214"/>
      <c r="F245" s="214"/>
      <c r="G245" s="214"/>
      <c r="H245" s="214"/>
      <c r="I245" s="32"/>
    </row>
    <row r="246" spans="1:9" s="13" customFormat="1">
      <c r="A246" s="30" t="s">
        <v>483</v>
      </c>
      <c r="B246" s="11" t="s">
        <v>820</v>
      </c>
      <c r="C246" s="11" t="s">
        <v>208</v>
      </c>
      <c r="D246" s="15" t="s">
        <v>207</v>
      </c>
      <c r="E246" s="30" t="s">
        <v>9</v>
      </c>
      <c r="F246" s="171">
        <f>0.9*2.1</f>
        <v>1.8900000000000001</v>
      </c>
      <c r="G246" s="215"/>
      <c r="H246" s="12"/>
      <c r="I246" s="32"/>
    </row>
    <row r="247" spans="1:9" s="13" customFormat="1" ht="29.25">
      <c r="A247" s="30" t="s">
        <v>484</v>
      </c>
      <c r="B247" s="11" t="s">
        <v>820</v>
      </c>
      <c r="C247" s="11" t="s">
        <v>485</v>
      </c>
      <c r="D247" s="15" t="s">
        <v>486</v>
      </c>
      <c r="E247" s="11" t="s">
        <v>156</v>
      </c>
      <c r="F247" s="10">
        <v>4</v>
      </c>
      <c r="G247" s="12"/>
      <c r="H247" s="12"/>
      <c r="I247" s="32"/>
    </row>
    <row r="248" spans="1:9" s="13" customFormat="1">
      <c r="A248" s="30" t="s">
        <v>487</v>
      </c>
      <c r="B248" s="11" t="s">
        <v>820</v>
      </c>
      <c r="C248" s="11" t="s">
        <v>614</v>
      </c>
      <c r="D248" s="15" t="s">
        <v>613</v>
      </c>
      <c r="E248" s="30" t="s">
        <v>9</v>
      </c>
      <c r="F248" s="171">
        <f>(2.5*0.6*2)+(1.2*0.6*2)</f>
        <v>4.4399999999999995</v>
      </c>
      <c r="G248" s="215"/>
      <c r="H248" s="12"/>
      <c r="I248" s="32"/>
    </row>
    <row r="249" spans="1:9" s="13" customFormat="1">
      <c r="A249" s="30" t="s">
        <v>488</v>
      </c>
      <c r="B249" s="11" t="s">
        <v>820</v>
      </c>
      <c r="C249" s="11" t="s">
        <v>489</v>
      </c>
      <c r="D249" s="15" t="s">
        <v>490</v>
      </c>
      <c r="E249" s="30" t="s">
        <v>9</v>
      </c>
      <c r="F249" s="171">
        <f>F248</f>
        <v>4.4399999999999995</v>
      </c>
      <c r="G249" s="215"/>
      <c r="H249" s="12"/>
      <c r="I249" s="32"/>
    </row>
    <row r="250" spans="1:9" s="13" customFormat="1">
      <c r="A250" s="30"/>
      <c r="B250" s="14"/>
      <c r="C250" s="11"/>
      <c r="D250" s="218" t="s">
        <v>871</v>
      </c>
      <c r="E250" s="11"/>
      <c r="F250" s="10"/>
      <c r="G250" s="12"/>
      <c r="H250" s="17"/>
      <c r="I250" s="32"/>
    </row>
    <row r="251" spans="1:9" s="13" customFormat="1">
      <c r="A251" s="213">
        <v>8</v>
      </c>
      <c r="B251" s="214"/>
      <c r="C251" s="214"/>
      <c r="D251" s="214" t="s">
        <v>57</v>
      </c>
      <c r="E251" s="214"/>
      <c r="F251" s="214"/>
      <c r="G251" s="214"/>
      <c r="H251" s="214"/>
      <c r="I251" s="32"/>
    </row>
    <row r="252" spans="1:9" s="13" customFormat="1" ht="29.25">
      <c r="A252" s="30" t="s">
        <v>491</v>
      </c>
      <c r="B252" s="11" t="s">
        <v>820</v>
      </c>
      <c r="C252" s="11" t="s">
        <v>41</v>
      </c>
      <c r="D252" s="15" t="s">
        <v>492</v>
      </c>
      <c r="E252" s="11" t="s">
        <v>9</v>
      </c>
      <c r="F252" s="10">
        <f>F238-F240</f>
        <v>172.94149999999999</v>
      </c>
      <c r="G252" s="12"/>
      <c r="H252" s="12"/>
      <c r="I252" s="32"/>
    </row>
    <row r="253" spans="1:9" s="13" customFormat="1">
      <c r="A253" s="30" t="s">
        <v>744</v>
      </c>
      <c r="B253" s="11" t="s">
        <v>820</v>
      </c>
      <c r="C253" s="11" t="s">
        <v>51</v>
      </c>
      <c r="D253" s="15" t="s">
        <v>617</v>
      </c>
      <c r="E253" s="30" t="s">
        <v>9</v>
      </c>
      <c r="F253" s="147">
        <f>(F248+F246)*2.5</f>
        <v>15.824999999999999</v>
      </c>
      <c r="G253" s="12"/>
      <c r="H253" s="221"/>
      <c r="I253" s="32"/>
    </row>
    <row r="254" spans="1:9" s="13" customFormat="1">
      <c r="A254" s="30"/>
      <c r="B254" s="14"/>
      <c r="C254" s="11"/>
      <c r="D254" s="218" t="s">
        <v>872</v>
      </c>
      <c r="E254" s="11"/>
      <c r="F254" s="10"/>
      <c r="G254" s="12"/>
      <c r="H254" s="17"/>
      <c r="I254" s="32"/>
    </row>
    <row r="255" spans="1:9" s="13" customFormat="1">
      <c r="A255" s="213">
        <v>9</v>
      </c>
      <c r="B255" s="214"/>
      <c r="C255" s="214"/>
      <c r="D255" s="214" t="s">
        <v>493</v>
      </c>
      <c r="E255" s="214"/>
      <c r="F255" s="214"/>
      <c r="G255" s="214"/>
      <c r="H255" s="214"/>
      <c r="I255" s="32"/>
    </row>
    <row r="256" spans="1:9" s="13" customFormat="1" ht="29.25">
      <c r="A256" s="30" t="s">
        <v>494</v>
      </c>
      <c r="B256" s="11" t="s">
        <v>820</v>
      </c>
      <c r="C256" s="11" t="s">
        <v>495</v>
      </c>
      <c r="D256" s="15" t="s">
        <v>496</v>
      </c>
      <c r="E256" s="11" t="s">
        <v>156</v>
      </c>
      <c r="F256" s="10">
        <v>2</v>
      </c>
      <c r="G256" s="215"/>
      <c r="H256" s="12"/>
      <c r="I256" s="32"/>
    </row>
    <row r="257" spans="1:9" s="13" customFormat="1" ht="29.25">
      <c r="A257" s="30" t="s">
        <v>497</v>
      </c>
      <c r="B257" s="11" t="s">
        <v>820</v>
      </c>
      <c r="C257" s="11" t="s">
        <v>498</v>
      </c>
      <c r="D257" s="15" t="s">
        <v>499</v>
      </c>
      <c r="E257" s="11" t="s">
        <v>156</v>
      </c>
      <c r="F257" s="10">
        <v>4</v>
      </c>
      <c r="G257" s="215"/>
      <c r="H257" s="12"/>
      <c r="I257" s="32"/>
    </row>
    <row r="258" spans="1:9" s="13" customFormat="1" ht="29.25">
      <c r="A258" s="30" t="s">
        <v>500</v>
      </c>
      <c r="B258" s="11" t="s">
        <v>820</v>
      </c>
      <c r="C258" s="30" t="s">
        <v>501</v>
      </c>
      <c r="D258" s="15" t="s">
        <v>502</v>
      </c>
      <c r="E258" s="30" t="s">
        <v>503</v>
      </c>
      <c r="F258" s="171">
        <v>2</v>
      </c>
      <c r="G258" s="215"/>
      <c r="H258" s="12"/>
      <c r="I258" s="32"/>
    </row>
    <row r="259" spans="1:9" s="13" customFormat="1" ht="29.25">
      <c r="A259" s="30" t="s">
        <v>504</v>
      </c>
      <c r="B259" s="11" t="s">
        <v>820</v>
      </c>
      <c r="C259" s="30" t="s">
        <v>505</v>
      </c>
      <c r="D259" s="15" t="s">
        <v>506</v>
      </c>
      <c r="E259" s="30" t="s">
        <v>150</v>
      </c>
      <c r="F259" s="171">
        <f>0.9*2</f>
        <v>1.8</v>
      </c>
      <c r="G259" s="215"/>
      <c r="H259" s="12"/>
      <c r="I259" s="32"/>
    </row>
    <row r="260" spans="1:9" s="13" customFormat="1" ht="29.25">
      <c r="A260" s="30" t="s">
        <v>507</v>
      </c>
      <c r="B260" s="11" t="s">
        <v>820</v>
      </c>
      <c r="C260" s="30" t="s">
        <v>508</v>
      </c>
      <c r="D260" s="15" t="s">
        <v>509</v>
      </c>
      <c r="E260" s="30" t="s">
        <v>9</v>
      </c>
      <c r="F260" s="171">
        <f>0.36*2</f>
        <v>0.72</v>
      </c>
      <c r="G260" s="215"/>
      <c r="H260" s="12"/>
      <c r="I260" s="32"/>
    </row>
    <row r="261" spans="1:9" s="13" customFormat="1">
      <c r="A261" s="222"/>
      <c r="B261" s="14"/>
      <c r="C261" s="30"/>
      <c r="D261" s="218" t="s">
        <v>873</v>
      </c>
      <c r="E261" s="30"/>
      <c r="F261" s="171"/>
      <c r="G261" s="215"/>
      <c r="H261" s="17"/>
      <c r="I261" s="32"/>
    </row>
    <row r="262" spans="1:9" s="13" customFormat="1">
      <c r="A262" s="213">
        <v>10</v>
      </c>
      <c r="B262" s="214"/>
      <c r="C262" s="214"/>
      <c r="D262" s="214" t="s">
        <v>153</v>
      </c>
      <c r="E262" s="214"/>
      <c r="F262" s="214"/>
      <c r="G262" s="214"/>
      <c r="H262" s="214"/>
      <c r="I262" s="32"/>
    </row>
    <row r="263" spans="1:9" s="13" customFormat="1">
      <c r="A263" s="14" t="s">
        <v>699</v>
      </c>
      <c r="B263" s="11" t="s">
        <v>820</v>
      </c>
      <c r="C263" s="11" t="s">
        <v>159</v>
      </c>
      <c r="D263" s="154" t="s">
        <v>160</v>
      </c>
      <c r="E263" s="30" t="s">
        <v>156</v>
      </c>
      <c r="F263" s="147">
        <v>2</v>
      </c>
      <c r="G263" s="215"/>
      <c r="H263" s="221"/>
      <c r="I263" s="32"/>
    </row>
    <row r="264" spans="1:9" s="13" customFormat="1">
      <c r="A264" s="14" t="s">
        <v>700</v>
      </c>
      <c r="B264" s="11" t="s">
        <v>820</v>
      </c>
      <c r="C264" s="11" t="s">
        <v>510</v>
      </c>
      <c r="D264" s="154" t="s">
        <v>511</v>
      </c>
      <c r="E264" s="30" t="s">
        <v>156</v>
      </c>
      <c r="F264" s="147">
        <v>2</v>
      </c>
      <c r="G264" s="215"/>
      <c r="H264" s="221"/>
      <c r="I264" s="32"/>
    </row>
    <row r="265" spans="1:9" s="13" customFormat="1">
      <c r="A265" s="14" t="s">
        <v>701</v>
      </c>
      <c r="B265" s="11" t="s">
        <v>820</v>
      </c>
      <c r="C265" s="11" t="s">
        <v>512</v>
      </c>
      <c r="D265" s="154" t="s">
        <v>513</v>
      </c>
      <c r="E265" s="30" t="s">
        <v>156</v>
      </c>
      <c r="F265" s="147">
        <v>2</v>
      </c>
      <c r="G265" s="215"/>
      <c r="H265" s="221"/>
      <c r="I265" s="32"/>
    </row>
    <row r="266" spans="1:9" s="13" customFormat="1" ht="29.25">
      <c r="A266" s="14" t="s">
        <v>702</v>
      </c>
      <c r="B266" s="11" t="s">
        <v>820</v>
      </c>
      <c r="C266" s="11" t="s">
        <v>514</v>
      </c>
      <c r="D266" s="154" t="s">
        <v>515</v>
      </c>
      <c r="E266" s="30" t="s">
        <v>156</v>
      </c>
      <c r="F266" s="147">
        <v>2</v>
      </c>
      <c r="G266" s="215"/>
      <c r="H266" s="221"/>
      <c r="I266" s="32"/>
    </row>
    <row r="267" spans="1:9" s="13" customFormat="1" ht="29.25">
      <c r="A267" s="14" t="s">
        <v>703</v>
      </c>
      <c r="B267" s="11" t="s">
        <v>820</v>
      </c>
      <c r="C267" s="11" t="s">
        <v>165</v>
      </c>
      <c r="D267" s="154" t="s">
        <v>166</v>
      </c>
      <c r="E267" s="30" t="s">
        <v>156</v>
      </c>
      <c r="F267" s="147">
        <v>1</v>
      </c>
      <c r="G267" s="215"/>
      <c r="H267" s="221"/>
      <c r="I267" s="32"/>
    </row>
    <row r="268" spans="1:9" s="13" customFormat="1">
      <c r="A268" s="14" t="s">
        <v>704</v>
      </c>
      <c r="B268" s="11" t="s">
        <v>820</v>
      </c>
      <c r="C268" s="11" t="s">
        <v>167</v>
      </c>
      <c r="D268" s="154" t="s">
        <v>168</v>
      </c>
      <c r="E268" s="30" t="s">
        <v>156</v>
      </c>
      <c r="F268" s="147">
        <v>4</v>
      </c>
      <c r="G268" s="215"/>
      <c r="H268" s="221"/>
      <c r="I268" s="32"/>
    </row>
    <row r="269" spans="1:9" s="13" customFormat="1">
      <c r="A269" s="14" t="s">
        <v>705</v>
      </c>
      <c r="B269" s="11" t="s">
        <v>820</v>
      </c>
      <c r="C269" s="11" t="s">
        <v>406</v>
      </c>
      <c r="D269" s="154" t="s">
        <v>405</v>
      </c>
      <c r="E269" s="30" t="s">
        <v>150</v>
      </c>
      <c r="F269" s="147">
        <v>20</v>
      </c>
      <c r="G269" s="215"/>
      <c r="H269" s="221"/>
      <c r="I269" s="32"/>
    </row>
    <row r="270" spans="1:9" s="13" customFormat="1">
      <c r="A270" s="14" t="s">
        <v>706</v>
      </c>
      <c r="B270" s="11" t="s">
        <v>820</v>
      </c>
      <c r="C270" s="11" t="s">
        <v>520</v>
      </c>
      <c r="D270" s="154" t="s">
        <v>521</v>
      </c>
      <c r="E270" s="30" t="s">
        <v>150</v>
      </c>
      <c r="F270" s="147">
        <f>(1.83+1.6+0.9+2.4+2.4+1.75+2.4+0.95+1.75+1.1+0.95+1.75+1.75+1.63+(8*2.5)+0.85)+2.3*2</f>
        <v>48.61</v>
      </c>
      <c r="G270" s="215"/>
      <c r="H270" s="221"/>
      <c r="I270" s="32"/>
    </row>
    <row r="271" spans="1:9" s="13" customFormat="1">
      <c r="A271" s="14" t="s">
        <v>707</v>
      </c>
      <c r="B271" s="11" t="s">
        <v>820</v>
      </c>
      <c r="C271" s="11" t="s">
        <v>169</v>
      </c>
      <c r="D271" s="154" t="s">
        <v>170</v>
      </c>
      <c r="E271" s="30" t="s">
        <v>150</v>
      </c>
      <c r="F271" s="147">
        <f>F270*3</f>
        <v>145.82999999999998</v>
      </c>
      <c r="G271" s="215"/>
      <c r="H271" s="221"/>
      <c r="I271" s="32"/>
    </row>
    <row r="272" spans="1:9" s="13" customFormat="1">
      <c r="A272" s="14" t="s">
        <v>516</v>
      </c>
      <c r="B272" s="11" t="s">
        <v>820</v>
      </c>
      <c r="C272" s="11" t="s">
        <v>171</v>
      </c>
      <c r="D272" s="154" t="s">
        <v>172</v>
      </c>
      <c r="E272" s="30" t="s">
        <v>150</v>
      </c>
      <c r="F272" s="147">
        <f>F270*2</f>
        <v>97.22</v>
      </c>
      <c r="G272" s="215"/>
      <c r="H272" s="221"/>
      <c r="I272" s="32"/>
    </row>
    <row r="273" spans="1:10" s="13" customFormat="1">
      <c r="A273" s="14" t="s">
        <v>517</v>
      </c>
      <c r="B273" s="11" t="s">
        <v>820</v>
      </c>
      <c r="C273" s="11" t="s">
        <v>624</v>
      </c>
      <c r="D273" s="154" t="s">
        <v>623</v>
      </c>
      <c r="E273" s="30" t="s">
        <v>150</v>
      </c>
      <c r="F273" s="147">
        <f>(5.8+0.91+4.75+1.8+3.5)*3</f>
        <v>50.28</v>
      </c>
      <c r="G273" s="215"/>
      <c r="H273" s="221"/>
      <c r="I273" s="32"/>
    </row>
    <row r="274" spans="1:10" s="13" customFormat="1">
      <c r="A274" s="14" t="s">
        <v>518</v>
      </c>
      <c r="B274" s="11" t="s">
        <v>820</v>
      </c>
      <c r="C274" s="11" t="s">
        <v>525</v>
      </c>
      <c r="D274" s="154" t="s">
        <v>526</v>
      </c>
      <c r="E274" s="30" t="s">
        <v>156</v>
      </c>
      <c r="F274" s="147">
        <v>14</v>
      </c>
      <c r="G274" s="215"/>
      <c r="H274" s="221"/>
      <c r="I274" s="32"/>
    </row>
    <row r="275" spans="1:10" s="13" customFormat="1">
      <c r="A275" s="14" t="s">
        <v>519</v>
      </c>
      <c r="B275" s="11" t="s">
        <v>820</v>
      </c>
      <c r="C275" s="11" t="s">
        <v>528</v>
      </c>
      <c r="D275" s="223" t="s">
        <v>529</v>
      </c>
      <c r="E275" s="30" t="s">
        <v>156</v>
      </c>
      <c r="F275" s="147">
        <v>6</v>
      </c>
      <c r="G275" s="12"/>
      <c r="H275" s="221"/>
      <c r="I275" s="32"/>
    </row>
    <row r="276" spans="1:10" s="13" customFormat="1">
      <c r="A276" s="14" t="s">
        <v>522</v>
      </c>
      <c r="B276" s="11" t="s">
        <v>820</v>
      </c>
      <c r="C276" s="11" t="s">
        <v>195</v>
      </c>
      <c r="D276" s="154" t="s">
        <v>196</v>
      </c>
      <c r="E276" s="30" t="s">
        <v>192</v>
      </c>
      <c r="F276" s="147">
        <v>4</v>
      </c>
      <c r="G276" s="215"/>
      <c r="H276" s="221"/>
      <c r="I276" s="32"/>
    </row>
    <row r="277" spans="1:10" s="13" customFormat="1">
      <c r="A277" s="14" t="s">
        <v>523</v>
      </c>
      <c r="B277" s="11" t="s">
        <v>820</v>
      </c>
      <c r="C277" s="11" t="s">
        <v>193</v>
      </c>
      <c r="D277" s="154" t="s">
        <v>194</v>
      </c>
      <c r="E277" s="30" t="s">
        <v>192</v>
      </c>
      <c r="F277" s="147">
        <v>2</v>
      </c>
      <c r="G277" s="215"/>
      <c r="H277" s="221"/>
      <c r="I277" s="32"/>
    </row>
    <row r="278" spans="1:10" s="13" customFormat="1" ht="29.25">
      <c r="A278" s="14" t="s">
        <v>524</v>
      </c>
      <c r="B278" s="11" t="s">
        <v>820</v>
      </c>
      <c r="C278" s="11" t="s">
        <v>185</v>
      </c>
      <c r="D278" s="154" t="s">
        <v>186</v>
      </c>
      <c r="E278" s="30" t="s">
        <v>156</v>
      </c>
      <c r="F278" s="147">
        <v>6</v>
      </c>
      <c r="G278" s="215"/>
      <c r="H278" s="221"/>
      <c r="I278" s="32"/>
    </row>
    <row r="279" spans="1:10" s="13" customFormat="1">
      <c r="A279" s="14" t="s">
        <v>708</v>
      </c>
      <c r="B279" s="11" t="s">
        <v>820</v>
      </c>
      <c r="C279" s="11" t="s">
        <v>619</v>
      </c>
      <c r="D279" s="154" t="s">
        <v>618</v>
      </c>
      <c r="E279" s="30" t="s">
        <v>156</v>
      </c>
      <c r="F279" s="147">
        <v>2</v>
      </c>
      <c r="G279" s="215"/>
      <c r="H279" s="221"/>
      <c r="I279" s="32"/>
    </row>
    <row r="280" spans="1:10" s="13" customFormat="1" ht="29.25">
      <c r="A280" s="14" t="s">
        <v>527</v>
      </c>
      <c r="B280" s="11" t="s">
        <v>820</v>
      </c>
      <c r="C280" s="11" t="s">
        <v>533</v>
      </c>
      <c r="D280" s="154" t="s">
        <v>620</v>
      </c>
      <c r="E280" s="30" t="s">
        <v>156</v>
      </c>
      <c r="F280" s="147">
        <v>2</v>
      </c>
      <c r="G280" s="215"/>
      <c r="H280" s="221"/>
      <c r="I280" s="32"/>
    </row>
    <row r="281" spans="1:10" s="13" customFormat="1">
      <c r="A281" s="14" t="s">
        <v>530</v>
      </c>
      <c r="B281" s="11" t="s">
        <v>820</v>
      </c>
      <c r="C281" s="11" t="s">
        <v>534</v>
      </c>
      <c r="D281" s="154" t="s">
        <v>535</v>
      </c>
      <c r="E281" s="30" t="s">
        <v>156</v>
      </c>
      <c r="F281" s="147">
        <v>2</v>
      </c>
      <c r="G281" s="215"/>
      <c r="H281" s="221"/>
      <c r="I281" s="32"/>
    </row>
    <row r="282" spans="1:10" s="13" customFormat="1" ht="29.25">
      <c r="A282" s="14" t="s">
        <v>531</v>
      </c>
      <c r="B282" s="11" t="s">
        <v>820</v>
      </c>
      <c r="C282" s="11" t="s">
        <v>622</v>
      </c>
      <c r="D282" s="154" t="s">
        <v>621</v>
      </c>
      <c r="E282" s="30" t="s">
        <v>156</v>
      </c>
      <c r="F282" s="147">
        <v>2</v>
      </c>
      <c r="G282" s="215"/>
      <c r="H282" s="221"/>
      <c r="I282" s="32"/>
    </row>
    <row r="283" spans="1:10" s="13" customFormat="1" ht="29.25">
      <c r="A283" s="14" t="s">
        <v>709</v>
      </c>
      <c r="B283" s="11" t="s">
        <v>820</v>
      </c>
      <c r="C283" s="11" t="s">
        <v>536</v>
      </c>
      <c r="D283" s="223" t="s">
        <v>537</v>
      </c>
      <c r="E283" s="30" t="s">
        <v>156</v>
      </c>
      <c r="F283" s="147">
        <v>2</v>
      </c>
      <c r="G283" s="12"/>
      <c r="H283" s="221"/>
      <c r="I283" s="32"/>
    </row>
    <row r="284" spans="1:10" s="13" customFormat="1">
      <c r="A284" s="14" t="s">
        <v>532</v>
      </c>
      <c r="B284" s="11" t="s">
        <v>820</v>
      </c>
      <c r="C284" s="11" t="s">
        <v>630</v>
      </c>
      <c r="D284" s="223" t="s">
        <v>629</v>
      </c>
      <c r="E284" s="30" t="s">
        <v>150</v>
      </c>
      <c r="F284" s="147">
        <f>4.05+4.9</f>
        <v>8.9499999999999993</v>
      </c>
      <c r="G284" s="12"/>
      <c r="H284" s="221"/>
      <c r="I284" s="32"/>
    </row>
    <row r="285" spans="1:10" s="13" customFormat="1">
      <c r="A285" s="224"/>
      <c r="B285" s="14"/>
      <c r="C285" s="30"/>
      <c r="D285" s="218" t="s">
        <v>874</v>
      </c>
      <c r="E285" s="30"/>
      <c r="F285" s="171"/>
      <c r="G285" s="215"/>
      <c r="H285" s="17"/>
      <c r="I285" s="32"/>
    </row>
    <row r="286" spans="1:10" s="13" customFormat="1">
      <c r="A286" s="213">
        <v>11</v>
      </c>
      <c r="B286" s="214"/>
      <c r="C286" s="214"/>
      <c r="D286" s="214" t="s">
        <v>538</v>
      </c>
      <c r="E286" s="214"/>
      <c r="F286" s="214"/>
      <c r="G286" s="214"/>
      <c r="H286" s="214"/>
      <c r="I286" s="32"/>
    </row>
    <row r="287" spans="1:10" s="13" customFormat="1" ht="29.25">
      <c r="A287" s="219" t="s">
        <v>801</v>
      </c>
      <c r="B287" s="11" t="s">
        <v>820</v>
      </c>
      <c r="C287" s="11" t="s">
        <v>626</v>
      </c>
      <c r="D287" s="220" t="s">
        <v>625</v>
      </c>
      <c r="E287" s="30" t="s">
        <v>156</v>
      </c>
      <c r="F287" s="147">
        <v>1</v>
      </c>
      <c r="G287" s="215"/>
      <c r="H287" s="221"/>
      <c r="I287" s="32"/>
      <c r="J287" s="32"/>
    </row>
    <row r="288" spans="1:10" s="13" customFormat="1" ht="29.25">
      <c r="A288" s="219" t="s">
        <v>802</v>
      </c>
      <c r="B288" s="11" t="s">
        <v>820</v>
      </c>
      <c r="C288" s="11" t="s">
        <v>628</v>
      </c>
      <c r="D288" s="220" t="s">
        <v>627</v>
      </c>
      <c r="E288" s="30" t="s">
        <v>156</v>
      </c>
      <c r="F288" s="147">
        <v>1</v>
      </c>
      <c r="G288" s="215"/>
      <c r="H288" s="221"/>
      <c r="I288" s="32"/>
    </row>
    <row r="289" spans="1:9" s="13" customFormat="1">
      <c r="A289" s="219" t="s">
        <v>803</v>
      </c>
      <c r="B289" s="11" t="s">
        <v>820</v>
      </c>
      <c r="C289" s="11" t="s">
        <v>548</v>
      </c>
      <c r="D289" s="220" t="s">
        <v>549</v>
      </c>
      <c r="E289" s="30" t="s">
        <v>156</v>
      </c>
      <c r="F289" s="147">
        <v>2</v>
      </c>
      <c r="G289" s="215"/>
      <c r="H289" s="221"/>
      <c r="I289" s="32"/>
    </row>
    <row r="290" spans="1:9" s="13" customFormat="1" ht="29.25">
      <c r="A290" s="219" t="s">
        <v>804</v>
      </c>
      <c r="B290" s="11" t="s">
        <v>820</v>
      </c>
      <c r="C290" s="11" t="s">
        <v>470</v>
      </c>
      <c r="D290" s="220" t="s">
        <v>539</v>
      </c>
      <c r="E290" s="30" t="s">
        <v>150</v>
      </c>
      <c r="F290" s="147">
        <f>(1.25+1.55+2.6+2.68+2.8)*2</f>
        <v>21.759999999999998</v>
      </c>
      <c r="G290" s="215"/>
      <c r="H290" s="221"/>
      <c r="I290" s="32"/>
    </row>
    <row r="291" spans="1:9" s="13" customFormat="1">
      <c r="A291" s="219" t="s">
        <v>805</v>
      </c>
      <c r="B291" s="11" t="s">
        <v>820</v>
      </c>
      <c r="C291" s="11" t="s">
        <v>540</v>
      </c>
      <c r="D291" s="220" t="s">
        <v>541</v>
      </c>
      <c r="E291" s="30" t="s">
        <v>150</v>
      </c>
      <c r="F291" s="147">
        <f>1.5+3.2+4.5+(4*3.2)+1.25+1.25+2.5+2.5</f>
        <v>29.5</v>
      </c>
      <c r="G291" s="215"/>
      <c r="H291" s="221"/>
      <c r="I291" s="32"/>
    </row>
    <row r="292" spans="1:9" s="13" customFormat="1">
      <c r="A292" s="219" t="s">
        <v>806</v>
      </c>
      <c r="B292" s="11" t="s">
        <v>820</v>
      </c>
      <c r="C292" s="11" t="s">
        <v>542</v>
      </c>
      <c r="D292" s="220" t="s">
        <v>543</v>
      </c>
      <c r="E292" s="30" t="s">
        <v>156</v>
      </c>
      <c r="F292" s="147">
        <v>1</v>
      </c>
      <c r="G292" s="215"/>
      <c r="H292" s="221"/>
      <c r="I292" s="32"/>
    </row>
    <row r="293" spans="1:9" s="13" customFormat="1">
      <c r="A293" s="219" t="s">
        <v>807</v>
      </c>
      <c r="B293" s="11" t="s">
        <v>820</v>
      </c>
      <c r="C293" s="30" t="s">
        <v>634</v>
      </c>
      <c r="D293" s="220" t="s">
        <v>633</v>
      </c>
      <c r="E293" s="30" t="s">
        <v>156</v>
      </c>
      <c r="F293" s="147">
        <v>1</v>
      </c>
      <c r="G293" s="215"/>
      <c r="H293" s="221"/>
      <c r="I293" s="32"/>
    </row>
    <row r="294" spans="1:9" s="13" customFormat="1" ht="29.25">
      <c r="A294" s="219" t="s">
        <v>808</v>
      </c>
      <c r="B294" s="11" t="s">
        <v>820</v>
      </c>
      <c r="C294" s="225" t="s">
        <v>544</v>
      </c>
      <c r="D294" s="220" t="s">
        <v>545</v>
      </c>
      <c r="E294" s="30" t="s">
        <v>156</v>
      </c>
      <c r="F294" s="147">
        <v>8</v>
      </c>
      <c r="G294" s="215"/>
      <c r="H294" s="221"/>
      <c r="I294" s="32"/>
    </row>
    <row r="295" spans="1:9" s="13" customFormat="1">
      <c r="A295" s="219" t="s">
        <v>809</v>
      </c>
      <c r="B295" s="11" t="s">
        <v>820</v>
      </c>
      <c r="C295" s="11" t="s">
        <v>546</v>
      </c>
      <c r="D295" s="220" t="s">
        <v>547</v>
      </c>
      <c r="E295" s="11" t="s">
        <v>156</v>
      </c>
      <c r="F295" s="171">
        <v>6</v>
      </c>
      <c r="G295" s="215"/>
      <c r="H295" s="221"/>
      <c r="I295" s="32"/>
    </row>
    <row r="296" spans="1:9" s="13" customFormat="1" ht="29.25">
      <c r="A296" s="219" t="s">
        <v>810</v>
      </c>
      <c r="B296" s="11" t="s">
        <v>820</v>
      </c>
      <c r="C296" s="11" t="s">
        <v>550</v>
      </c>
      <c r="D296" s="220" t="s">
        <v>551</v>
      </c>
      <c r="E296" s="11" t="s">
        <v>150</v>
      </c>
      <c r="F296" s="171">
        <f>1.25*2</f>
        <v>2.5</v>
      </c>
      <c r="G296" s="215"/>
      <c r="H296" s="221"/>
      <c r="I296" s="32"/>
    </row>
    <row r="297" spans="1:9" s="13" customFormat="1">
      <c r="A297" s="219" t="s">
        <v>811</v>
      </c>
      <c r="B297" s="11" t="s">
        <v>820</v>
      </c>
      <c r="C297" s="11" t="s">
        <v>552</v>
      </c>
      <c r="D297" s="220" t="s">
        <v>553</v>
      </c>
      <c r="E297" s="11" t="s">
        <v>150</v>
      </c>
      <c r="F297" s="171">
        <f>5.6+1.2+1.5+1.6+(8*2.8)</f>
        <v>32.299999999999997</v>
      </c>
      <c r="G297" s="215"/>
      <c r="H297" s="221"/>
      <c r="I297" s="32"/>
    </row>
    <row r="298" spans="1:9" s="13" customFormat="1" ht="29.25">
      <c r="A298" s="219" t="s">
        <v>812</v>
      </c>
      <c r="B298" s="11" t="s">
        <v>820</v>
      </c>
      <c r="C298" s="11" t="s">
        <v>554</v>
      </c>
      <c r="D298" s="220" t="s">
        <v>555</v>
      </c>
      <c r="E298" s="11" t="s">
        <v>150</v>
      </c>
      <c r="F298" s="171">
        <f>(4.3+0.5+1.05+1.8+0.8+1.25+1.2)*2</f>
        <v>21.799999999999997</v>
      </c>
      <c r="G298" s="215"/>
      <c r="H298" s="221"/>
      <c r="I298" s="32"/>
    </row>
    <row r="299" spans="1:9" s="13" customFormat="1" ht="29.25">
      <c r="A299" s="219" t="s">
        <v>813</v>
      </c>
      <c r="B299" s="11" t="s">
        <v>820</v>
      </c>
      <c r="C299" s="11" t="s">
        <v>556</v>
      </c>
      <c r="D299" s="220" t="s">
        <v>557</v>
      </c>
      <c r="E299" s="11" t="s">
        <v>156</v>
      </c>
      <c r="F299" s="171">
        <v>1</v>
      </c>
      <c r="G299" s="215"/>
      <c r="H299" s="221"/>
      <c r="I299" s="32"/>
    </row>
    <row r="300" spans="1:9" s="13" customFormat="1">
      <c r="A300" s="219" t="s">
        <v>814</v>
      </c>
      <c r="B300" s="11" t="s">
        <v>820</v>
      </c>
      <c r="C300" s="11" t="s">
        <v>558</v>
      </c>
      <c r="D300" s="2" t="s">
        <v>559</v>
      </c>
      <c r="E300" s="11" t="s">
        <v>156</v>
      </c>
      <c r="F300" s="171">
        <v>8</v>
      </c>
      <c r="G300" s="215"/>
      <c r="H300" s="221"/>
      <c r="I300" s="32"/>
    </row>
    <row r="301" spans="1:9" s="13" customFormat="1">
      <c r="A301" s="222"/>
      <c r="B301" s="14"/>
      <c r="C301" s="11"/>
      <c r="D301" s="218" t="s">
        <v>875</v>
      </c>
      <c r="E301" s="11"/>
      <c r="F301" s="171"/>
      <c r="G301" s="215"/>
      <c r="H301" s="17"/>
      <c r="I301" s="32"/>
    </row>
    <row r="302" spans="1:9" s="13" customFormat="1">
      <c r="A302" s="213">
        <v>12</v>
      </c>
      <c r="B302" s="214"/>
      <c r="C302" s="214"/>
      <c r="D302" s="214" t="s">
        <v>560</v>
      </c>
      <c r="E302" s="214"/>
      <c r="F302" s="214"/>
      <c r="G302" s="214"/>
      <c r="H302" s="214"/>
      <c r="I302" s="32"/>
    </row>
    <row r="303" spans="1:9" s="13" customFormat="1" ht="29.25">
      <c r="A303" s="30" t="s">
        <v>561</v>
      </c>
      <c r="B303" s="11" t="s">
        <v>820</v>
      </c>
      <c r="C303" s="30" t="s">
        <v>562</v>
      </c>
      <c r="D303" s="170" t="s">
        <v>563</v>
      </c>
      <c r="E303" s="30" t="s">
        <v>156</v>
      </c>
      <c r="F303" s="171">
        <v>2</v>
      </c>
      <c r="G303" s="215"/>
      <c r="H303" s="12"/>
      <c r="I303" s="32"/>
    </row>
    <row r="304" spans="1:9" s="13" customFormat="1">
      <c r="A304" s="30" t="s">
        <v>564</v>
      </c>
      <c r="B304" s="11" t="s">
        <v>820</v>
      </c>
      <c r="C304" s="30" t="s">
        <v>565</v>
      </c>
      <c r="D304" s="170" t="s">
        <v>566</v>
      </c>
      <c r="E304" s="30" t="s">
        <v>156</v>
      </c>
      <c r="F304" s="171">
        <v>6</v>
      </c>
      <c r="G304" s="215"/>
      <c r="H304" s="12"/>
      <c r="I304" s="32"/>
    </row>
    <row r="305" spans="1:9" s="13" customFormat="1">
      <c r="A305" s="30" t="s">
        <v>567</v>
      </c>
      <c r="B305" s="11" t="s">
        <v>820</v>
      </c>
      <c r="C305" s="30" t="s">
        <v>568</v>
      </c>
      <c r="D305" s="170" t="s">
        <v>569</v>
      </c>
      <c r="E305" s="30" t="s">
        <v>156</v>
      </c>
      <c r="F305" s="171">
        <v>6</v>
      </c>
      <c r="G305" s="215"/>
      <c r="H305" s="12"/>
      <c r="I305" s="32"/>
    </row>
    <row r="306" spans="1:9" s="13" customFormat="1">
      <c r="A306" s="30" t="s">
        <v>570</v>
      </c>
      <c r="B306" s="11" t="s">
        <v>820</v>
      </c>
      <c r="C306" s="30" t="s">
        <v>571</v>
      </c>
      <c r="D306" s="170" t="s">
        <v>572</v>
      </c>
      <c r="E306" s="30" t="s">
        <v>156</v>
      </c>
      <c r="F306" s="171">
        <v>2</v>
      </c>
      <c r="G306" s="215"/>
      <c r="H306" s="12"/>
      <c r="I306" s="32"/>
    </row>
    <row r="307" spans="1:9" s="13" customFormat="1" ht="29.25">
      <c r="A307" s="30" t="s">
        <v>573</v>
      </c>
      <c r="B307" s="11" t="s">
        <v>820</v>
      </c>
      <c r="C307" s="30" t="s">
        <v>574</v>
      </c>
      <c r="D307" s="170" t="s">
        <v>575</v>
      </c>
      <c r="E307" s="30" t="s">
        <v>156</v>
      </c>
      <c r="F307" s="10">
        <v>2</v>
      </c>
      <c r="G307" s="215"/>
      <c r="H307" s="12"/>
      <c r="I307" s="32"/>
    </row>
    <row r="308" spans="1:9" s="13" customFormat="1">
      <c r="A308" s="30" t="s">
        <v>576</v>
      </c>
      <c r="B308" s="11" t="s">
        <v>820</v>
      </c>
      <c r="C308" s="225" t="s">
        <v>577</v>
      </c>
      <c r="D308" s="220" t="s">
        <v>578</v>
      </c>
      <c r="E308" s="11" t="s">
        <v>156</v>
      </c>
      <c r="F308" s="10">
        <v>6</v>
      </c>
      <c r="G308" s="215"/>
      <c r="H308" s="12"/>
      <c r="I308" s="32"/>
    </row>
    <row r="309" spans="1:9" s="13" customFormat="1">
      <c r="A309" s="30" t="s">
        <v>579</v>
      </c>
      <c r="B309" s="11" t="s">
        <v>820</v>
      </c>
      <c r="C309" s="225" t="s">
        <v>580</v>
      </c>
      <c r="D309" s="220" t="s">
        <v>581</v>
      </c>
      <c r="E309" s="11" t="s">
        <v>9</v>
      </c>
      <c r="F309" s="10">
        <f>(1.85*0.8)*2+(0.8*0.8)*2</f>
        <v>4.24</v>
      </c>
      <c r="G309" s="215"/>
      <c r="H309" s="12"/>
      <c r="I309" s="32"/>
    </row>
    <row r="310" spans="1:9" s="13" customFormat="1" ht="29.25">
      <c r="A310" s="30" t="s">
        <v>582</v>
      </c>
      <c r="B310" s="11" t="s">
        <v>820</v>
      </c>
      <c r="C310" s="225" t="s">
        <v>583</v>
      </c>
      <c r="D310" s="220" t="s">
        <v>584</v>
      </c>
      <c r="E310" s="11" t="s">
        <v>156</v>
      </c>
      <c r="F310" s="10">
        <v>4</v>
      </c>
      <c r="G310" s="215"/>
      <c r="H310" s="12"/>
      <c r="I310" s="32"/>
    </row>
    <row r="311" spans="1:9" s="13" customFormat="1">
      <c r="A311" s="30" t="s">
        <v>585</v>
      </c>
      <c r="B311" s="11" t="s">
        <v>820</v>
      </c>
      <c r="C311" s="225" t="s">
        <v>586</v>
      </c>
      <c r="D311" s="220" t="s">
        <v>587</v>
      </c>
      <c r="E311" s="11" t="s">
        <v>156</v>
      </c>
      <c r="F311" s="10">
        <v>4</v>
      </c>
      <c r="G311" s="215"/>
      <c r="H311" s="12"/>
      <c r="I311" s="32"/>
    </row>
    <row r="312" spans="1:9" s="13" customFormat="1" ht="29.25">
      <c r="A312" s="30" t="s">
        <v>588</v>
      </c>
      <c r="B312" s="11" t="s">
        <v>820</v>
      </c>
      <c r="C312" s="30" t="s">
        <v>589</v>
      </c>
      <c r="D312" s="15" t="s">
        <v>590</v>
      </c>
      <c r="E312" s="30" t="s">
        <v>156</v>
      </c>
      <c r="F312" s="171">
        <v>6</v>
      </c>
      <c r="G312" s="215"/>
      <c r="H312" s="12"/>
      <c r="I312" s="32"/>
    </row>
    <row r="313" spans="1:9" s="13" customFormat="1" ht="29.25">
      <c r="A313" s="30" t="s">
        <v>591</v>
      </c>
      <c r="B313" s="11" t="s">
        <v>820</v>
      </c>
      <c r="C313" s="30" t="s">
        <v>592</v>
      </c>
      <c r="D313" s="15" t="s">
        <v>593</v>
      </c>
      <c r="E313" s="30" t="s">
        <v>156</v>
      </c>
      <c r="F313" s="171">
        <v>6</v>
      </c>
      <c r="G313" s="215"/>
      <c r="H313" s="12"/>
      <c r="I313" s="32"/>
    </row>
    <row r="314" spans="1:9" s="13" customFormat="1">
      <c r="A314" s="30" t="s">
        <v>594</v>
      </c>
      <c r="B314" s="11" t="s">
        <v>820</v>
      </c>
      <c r="C314" s="30" t="s">
        <v>595</v>
      </c>
      <c r="D314" s="170" t="s">
        <v>596</v>
      </c>
      <c r="E314" s="30" t="s">
        <v>156</v>
      </c>
      <c r="F314" s="171">
        <v>6</v>
      </c>
      <c r="G314" s="215"/>
      <c r="H314" s="12"/>
      <c r="I314" s="32"/>
    </row>
    <row r="315" spans="1:9" s="13" customFormat="1">
      <c r="A315" s="30" t="s">
        <v>597</v>
      </c>
      <c r="B315" s="11" t="s">
        <v>820</v>
      </c>
      <c r="C315" s="30" t="s">
        <v>599</v>
      </c>
      <c r="D315" s="170" t="s">
        <v>600</v>
      </c>
      <c r="E315" s="30" t="s">
        <v>156</v>
      </c>
      <c r="F315" s="10">
        <v>4</v>
      </c>
      <c r="G315" s="215"/>
      <c r="H315" s="12"/>
      <c r="I315" s="32"/>
    </row>
    <row r="316" spans="1:9" s="13" customFormat="1" ht="29.25">
      <c r="A316" s="30" t="s">
        <v>598</v>
      </c>
      <c r="B316" s="11" t="s">
        <v>820</v>
      </c>
      <c r="C316" s="226" t="s">
        <v>602</v>
      </c>
      <c r="D316" s="227" t="s">
        <v>603</v>
      </c>
      <c r="E316" s="30" t="s">
        <v>156</v>
      </c>
      <c r="F316" s="10">
        <v>4</v>
      </c>
      <c r="G316" s="215"/>
      <c r="H316" s="12"/>
      <c r="I316" s="32"/>
    </row>
    <row r="317" spans="1:9" s="13" customFormat="1">
      <c r="A317" s="30" t="s">
        <v>601</v>
      </c>
      <c r="B317" s="11" t="s">
        <v>820</v>
      </c>
      <c r="C317" s="11" t="s">
        <v>480</v>
      </c>
      <c r="D317" s="220" t="s">
        <v>481</v>
      </c>
      <c r="E317" s="11" t="s">
        <v>9</v>
      </c>
      <c r="F317" s="10">
        <f>(1.02*2)</f>
        <v>2.04</v>
      </c>
      <c r="G317" s="12"/>
      <c r="H317" s="12"/>
      <c r="I317" s="32"/>
    </row>
    <row r="318" spans="1:9" s="13" customFormat="1">
      <c r="A318" s="222"/>
      <c r="B318" s="14"/>
      <c r="C318" s="30"/>
      <c r="D318" s="218" t="s">
        <v>876</v>
      </c>
      <c r="E318" s="30"/>
      <c r="F318" s="171"/>
      <c r="G318" s="215"/>
      <c r="H318" s="17"/>
      <c r="I318" s="32"/>
    </row>
    <row r="319" spans="1:9" s="13" customFormat="1">
      <c r="A319" s="156"/>
      <c r="B319" s="228"/>
      <c r="C319" s="229"/>
      <c r="D319" s="230"/>
      <c r="E319" s="231"/>
      <c r="F319" s="232"/>
      <c r="G319" s="233"/>
      <c r="H319" s="233"/>
      <c r="I319" s="32"/>
    </row>
    <row r="320" spans="1:9" s="13" customFormat="1" ht="6" customHeight="1">
      <c r="A320" s="28"/>
      <c r="B320" s="177"/>
      <c r="C320" s="178"/>
      <c r="D320" s="234"/>
      <c r="E320" s="235"/>
      <c r="F320" s="235"/>
      <c r="G320" s="236"/>
      <c r="H320" s="237"/>
      <c r="I320" s="32"/>
    </row>
    <row r="321" spans="1:12" s="13" customFormat="1">
      <c r="A321" s="22">
        <v>13</v>
      </c>
      <c r="B321" s="164"/>
      <c r="C321" s="165"/>
      <c r="D321" s="166" t="s">
        <v>259</v>
      </c>
      <c r="E321" s="167"/>
      <c r="F321" s="167"/>
      <c r="G321" s="168"/>
      <c r="H321" s="8"/>
      <c r="I321" s="32"/>
    </row>
    <row r="322" spans="1:12" s="13" customFormat="1">
      <c r="A322" s="11" t="s">
        <v>639</v>
      </c>
      <c r="B322" s="11" t="s">
        <v>820</v>
      </c>
      <c r="C322" s="20" t="s">
        <v>261</v>
      </c>
      <c r="D322" s="149" t="s">
        <v>262</v>
      </c>
      <c r="E322" s="159" t="s">
        <v>9</v>
      </c>
      <c r="F322" s="159">
        <v>39.28</v>
      </c>
      <c r="G322" s="150"/>
      <c r="H322" s="12"/>
      <c r="I322" s="32"/>
      <c r="K322" s="260"/>
      <c r="L322" s="32"/>
    </row>
    <row r="323" spans="1:12" s="13" customFormat="1">
      <c r="A323" s="11"/>
      <c r="B323" s="14"/>
      <c r="C323" s="20"/>
      <c r="D323" s="218" t="s">
        <v>877</v>
      </c>
      <c r="E323" s="159"/>
      <c r="F323" s="159"/>
      <c r="G323" s="150"/>
      <c r="H323" s="17"/>
      <c r="I323" s="32"/>
      <c r="K323" s="190"/>
      <c r="L323" s="190"/>
    </row>
    <row r="324" spans="1:12" s="13" customFormat="1">
      <c r="A324" s="11"/>
      <c r="B324" s="14"/>
      <c r="C324" s="20"/>
      <c r="D324" s="149"/>
      <c r="E324" s="159"/>
      <c r="F324" s="159"/>
      <c r="G324" s="150"/>
      <c r="H324" s="12"/>
      <c r="I324" s="32"/>
      <c r="K324" s="190"/>
      <c r="L324" s="32"/>
    </row>
    <row r="325" spans="1:12" s="13" customFormat="1">
      <c r="A325" s="11"/>
      <c r="B325" s="14"/>
      <c r="C325" s="11"/>
      <c r="D325" s="37" t="s">
        <v>640</v>
      </c>
      <c r="E325" s="11"/>
      <c r="F325" s="39"/>
      <c r="G325" s="39"/>
      <c r="H325" s="17"/>
      <c r="I325" s="32"/>
      <c r="J325" s="261"/>
      <c r="K325" s="262"/>
    </row>
    <row r="326" spans="1:12" s="13" customFormat="1">
      <c r="A326" s="11"/>
      <c r="B326" s="14"/>
      <c r="C326" s="11"/>
      <c r="D326" s="37"/>
      <c r="E326" s="11"/>
      <c r="F326" s="39"/>
      <c r="G326" s="39"/>
      <c r="H326" s="17"/>
      <c r="I326" s="32"/>
      <c r="K326" s="190"/>
    </row>
    <row r="327" spans="1:12" s="13" customFormat="1">
      <c r="A327" s="22" t="s">
        <v>764</v>
      </c>
      <c r="B327" s="164"/>
      <c r="C327" s="165"/>
      <c r="D327" s="166" t="s">
        <v>779</v>
      </c>
      <c r="E327" s="167"/>
      <c r="F327" s="167"/>
      <c r="G327" s="168"/>
      <c r="H327" s="8"/>
      <c r="I327" s="32"/>
      <c r="K327" s="190"/>
    </row>
    <row r="328" spans="1:12" s="13" customFormat="1">
      <c r="A328" s="22">
        <v>1</v>
      </c>
      <c r="B328" s="164"/>
      <c r="C328" s="165"/>
      <c r="D328" s="166" t="s">
        <v>731</v>
      </c>
      <c r="E328" s="167"/>
      <c r="F328" s="167"/>
      <c r="G328" s="168"/>
      <c r="H328" s="8"/>
      <c r="I328" s="32"/>
      <c r="K328" s="190"/>
    </row>
    <row r="329" spans="1:12" s="13" customFormat="1">
      <c r="A329" s="11" t="s">
        <v>43</v>
      </c>
      <c r="B329" s="11" t="s">
        <v>368</v>
      </c>
      <c r="C329" s="20" t="s">
        <v>780</v>
      </c>
      <c r="D329" s="160" t="s">
        <v>765</v>
      </c>
      <c r="E329" s="159" t="s">
        <v>156</v>
      </c>
      <c r="F329" s="159">
        <v>1</v>
      </c>
      <c r="G329" s="150"/>
      <c r="H329" s="12"/>
      <c r="I329" s="32"/>
      <c r="K329" s="190"/>
    </row>
    <row r="330" spans="1:12" s="13" customFormat="1">
      <c r="A330" s="11" t="s">
        <v>44</v>
      </c>
      <c r="B330" s="11" t="s">
        <v>820</v>
      </c>
      <c r="C330" s="20" t="s">
        <v>733</v>
      </c>
      <c r="D330" s="149" t="s">
        <v>732</v>
      </c>
      <c r="E330" s="159" t="s">
        <v>150</v>
      </c>
      <c r="F330" s="159">
        <f>59.6+1.35+3</f>
        <v>63.95</v>
      </c>
      <c r="G330" s="150"/>
      <c r="H330" s="12"/>
      <c r="I330" s="32"/>
      <c r="K330" s="190"/>
    </row>
    <row r="331" spans="1:12" s="13" customFormat="1">
      <c r="A331" s="11" t="s">
        <v>45</v>
      </c>
      <c r="B331" s="11" t="s">
        <v>820</v>
      </c>
      <c r="C331" s="11" t="s">
        <v>425</v>
      </c>
      <c r="D331" s="15" t="s">
        <v>827</v>
      </c>
      <c r="E331" s="11" t="s">
        <v>10</v>
      </c>
      <c r="F331" s="10">
        <f>F330*0.2*0.3</f>
        <v>3.8370000000000002</v>
      </c>
      <c r="G331" s="12"/>
      <c r="H331" s="12"/>
      <c r="I331" s="32"/>
      <c r="K331" s="190"/>
    </row>
    <row r="332" spans="1:12" s="13" customFormat="1">
      <c r="A332" s="11" t="s">
        <v>135</v>
      </c>
      <c r="B332" s="11" t="s">
        <v>820</v>
      </c>
      <c r="C332" s="11" t="s">
        <v>438</v>
      </c>
      <c r="D332" s="15" t="s">
        <v>439</v>
      </c>
      <c r="E332" s="11" t="s">
        <v>10</v>
      </c>
      <c r="F332" s="10">
        <f>F331-0.72</f>
        <v>3.117</v>
      </c>
      <c r="G332" s="12"/>
      <c r="H332" s="12"/>
      <c r="I332" s="32"/>
      <c r="K332" s="190"/>
    </row>
    <row r="333" spans="1:12" s="13" customFormat="1">
      <c r="A333" s="11"/>
      <c r="B333" s="11"/>
      <c r="C333" s="11"/>
      <c r="D333" s="264" t="s">
        <v>58</v>
      </c>
      <c r="E333" s="11"/>
      <c r="F333" s="10"/>
      <c r="G333" s="12"/>
      <c r="H333" s="17"/>
      <c r="I333" s="32"/>
      <c r="K333" s="190"/>
    </row>
    <row r="334" spans="1:12" s="13" customFormat="1">
      <c r="A334" s="11"/>
      <c r="B334" s="11"/>
      <c r="C334" s="11"/>
      <c r="D334" s="155"/>
      <c r="E334" s="11"/>
      <c r="F334" s="10"/>
      <c r="G334" s="12"/>
      <c r="H334" s="12"/>
      <c r="I334" s="32"/>
      <c r="J334" s="32"/>
      <c r="K334" s="190"/>
    </row>
    <row r="335" spans="1:12" s="13" customFormat="1">
      <c r="A335" s="22">
        <v>2</v>
      </c>
      <c r="B335" s="164"/>
      <c r="C335" s="165"/>
      <c r="D335" s="166" t="s">
        <v>853</v>
      </c>
      <c r="E335" s="167"/>
      <c r="F335" s="167"/>
      <c r="G335" s="168"/>
      <c r="H335" s="8"/>
      <c r="I335" s="32"/>
      <c r="K335" s="190"/>
    </row>
    <row r="336" spans="1:12" s="13" customFormat="1" ht="29.25">
      <c r="A336" s="11" t="s">
        <v>63</v>
      </c>
      <c r="B336" s="11" t="s">
        <v>820</v>
      </c>
      <c r="C336" s="11" t="s">
        <v>425</v>
      </c>
      <c r="D336" s="15" t="s">
        <v>854</v>
      </c>
      <c r="E336" s="11" t="s">
        <v>10</v>
      </c>
      <c r="F336" s="10">
        <f>1*0.7*0.25</f>
        <v>0.17499999999999999</v>
      </c>
      <c r="G336" s="12"/>
      <c r="H336" s="12"/>
      <c r="I336" s="32"/>
      <c r="K336" s="190"/>
    </row>
    <row r="337" spans="1:11" s="13" customFormat="1">
      <c r="A337" s="11" t="s">
        <v>64</v>
      </c>
      <c r="B337" s="11" t="s">
        <v>820</v>
      </c>
      <c r="C337" s="11" t="s">
        <v>438</v>
      </c>
      <c r="D337" s="15" t="s">
        <v>855</v>
      </c>
      <c r="E337" s="11" t="s">
        <v>10</v>
      </c>
      <c r="F337" s="10">
        <f>1*0.7*0.05</f>
        <v>3.4999999999999996E-2</v>
      </c>
      <c r="G337" s="12"/>
      <c r="H337" s="12"/>
      <c r="I337" s="32"/>
      <c r="K337" s="190"/>
    </row>
    <row r="338" spans="1:11" s="13" customFormat="1">
      <c r="A338" s="11" t="s">
        <v>146</v>
      </c>
      <c r="B338" s="11" t="s">
        <v>820</v>
      </c>
      <c r="C338" s="11" t="s">
        <v>283</v>
      </c>
      <c r="D338" s="155" t="s">
        <v>856</v>
      </c>
      <c r="E338" s="11" t="s">
        <v>10</v>
      </c>
      <c r="F338" s="10">
        <f>1*0.7*0.2</f>
        <v>0.13999999999999999</v>
      </c>
      <c r="G338" s="12"/>
      <c r="H338" s="12"/>
      <c r="I338" s="32"/>
      <c r="K338" s="190"/>
    </row>
    <row r="339" spans="1:11" s="13" customFormat="1" ht="29.25">
      <c r="A339" s="11" t="s">
        <v>147</v>
      </c>
      <c r="B339" s="11" t="s">
        <v>820</v>
      </c>
      <c r="C339" s="11" t="s">
        <v>306</v>
      </c>
      <c r="D339" s="15" t="s">
        <v>864</v>
      </c>
      <c r="E339" s="11" t="s">
        <v>10</v>
      </c>
      <c r="F339" s="10">
        <f>F338</f>
        <v>0.13999999999999999</v>
      </c>
      <c r="G339" s="12"/>
      <c r="H339" s="12"/>
      <c r="I339" s="32"/>
      <c r="K339" s="190"/>
    </row>
    <row r="340" spans="1:11" s="13" customFormat="1">
      <c r="A340" s="11" t="s">
        <v>311</v>
      </c>
      <c r="B340" s="11" t="s">
        <v>820</v>
      </c>
      <c r="C340" s="11" t="s">
        <v>307</v>
      </c>
      <c r="D340" s="155" t="s">
        <v>857</v>
      </c>
      <c r="E340" s="11" t="s">
        <v>293</v>
      </c>
      <c r="F340" s="10">
        <f>16.2*0.25</f>
        <v>4.05</v>
      </c>
      <c r="G340" s="12"/>
      <c r="H340" s="12"/>
      <c r="I340" s="32"/>
      <c r="K340" s="190"/>
    </row>
    <row r="341" spans="1:11" s="13" customFormat="1">
      <c r="A341" s="11" t="s">
        <v>312</v>
      </c>
      <c r="B341" s="11" t="s">
        <v>820</v>
      </c>
      <c r="C341" s="11" t="s">
        <v>859</v>
      </c>
      <c r="D341" s="155" t="s">
        <v>858</v>
      </c>
      <c r="E341" s="11" t="s">
        <v>9</v>
      </c>
      <c r="F341" s="10">
        <f>2*0.8</f>
        <v>1.6</v>
      </c>
      <c r="G341" s="12"/>
      <c r="H341" s="12"/>
      <c r="I341" s="32"/>
      <c r="K341" s="190"/>
    </row>
    <row r="342" spans="1:11" s="13" customFormat="1">
      <c r="A342" s="11" t="s">
        <v>313</v>
      </c>
      <c r="B342" s="11" t="s">
        <v>820</v>
      </c>
      <c r="C342" s="11" t="s">
        <v>280</v>
      </c>
      <c r="D342" s="155" t="s">
        <v>861</v>
      </c>
      <c r="E342" s="11" t="s">
        <v>9</v>
      </c>
      <c r="F342" s="10">
        <f>(0.8+0.8+0.5)*2</f>
        <v>4.2</v>
      </c>
      <c r="G342" s="12"/>
      <c r="H342" s="12"/>
      <c r="I342" s="32"/>
      <c r="K342" s="190"/>
    </row>
    <row r="343" spans="1:11" s="13" customFormat="1">
      <c r="A343" s="11" t="s">
        <v>314</v>
      </c>
      <c r="B343" s="11" t="s">
        <v>820</v>
      </c>
      <c r="C343" s="11" t="s">
        <v>281</v>
      </c>
      <c r="D343" s="155" t="s">
        <v>862</v>
      </c>
      <c r="E343" s="11" t="s">
        <v>9</v>
      </c>
      <c r="F343" s="10">
        <f>F342</f>
        <v>4.2</v>
      </c>
      <c r="G343" s="12"/>
      <c r="H343" s="12"/>
      <c r="I343" s="32"/>
      <c r="K343" s="190"/>
    </row>
    <row r="344" spans="1:11" s="13" customFormat="1">
      <c r="A344" s="11" t="s">
        <v>317</v>
      </c>
      <c r="B344" s="11" t="s">
        <v>820</v>
      </c>
      <c r="C344" s="11" t="s">
        <v>283</v>
      </c>
      <c r="D344" s="155" t="s">
        <v>863</v>
      </c>
      <c r="E344" s="11" t="s">
        <v>10</v>
      </c>
      <c r="F344" s="10">
        <f>(0.6*0.95*0.06)+0.52</f>
        <v>0.55420000000000003</v>
      </c>
      <c r="G344" s="12"/>
      <c r="H344" s="12"/>
      <c r="I344" s="32"/>
      <c r="K344" s="190"/>
    </row>
    <row r="345" spans="1:11" s="13" customFormat="1" ht="29.25">
      <c r="A345" s="11" t="s">
        <v>341</v>
      </c>
      <c r="B345" s="11" t="s">
        <v>820</v>
      </c>
      <c r="C345" s="11" t="s">
        <v>306</v>
      </c>
      <c r="D345" s="15" t="s">
        <v>864</v>
      </c>
      <c r="E345" s="11" t="s">
        <v>10</v>
      </c>
      <c r="F345" s="10">
        <f>F344</f>
        <v>0.55420000000000003</v>
      </c>
      <c r="G345" s="12"/>
      <c r="H345" s="12"/>
      <c r="I345" s="32"/>
      <c r="K345" s="190"/>
    </row>
    <row r="346" spans="1:11" s="13" customFormat="1">
      <c r="A346" s="11" t="s">
        <v>342</v>
      </c>
      <c r="B346" s="11" t="s">
        <v>820</v>
      </c>
      <c r="C346" s="11" t="s">
        <v>307</v>
      </c>
      <c r="D346" s="155" t="s">
        <v>865</v>
      </c>
      <c r="E346" s="11" t="s">
        <v>293</v>
      </c>
      <c r="F346" s="10">
        <f>14.8*0.25</f>
        <v>3.7</v>
      </c>
      <c r="G346" s="12"/>
      <c r="H346" s="12"/>
      <c r="I346" s="32"/>
      <c r="K346" s="190"/>
    </row>
    <row r="347" spans="1:11" s="13" customFormat="1">
      <c r="A347" s="11" t="s">
        <v>343</v>
      </c>
      <c r="B347" s="11" t="s">
        <v>820</v>
      </c>
      <c r="C347" s="11" t="s">
        <v>867</v>
      </c>
      <c r="D347" s="155" t="s">
        <v>866</v>
      </c>
      <c r="E347" s="11" t="s">
        <v>9</v>
      </c>
      <c r="F347" s="10">
        <f>0.6*0.95</f>
        <v>0.56999999999999995</v>
      </c>
      <c r="G347" s="12"/>
      <c r="H347" s="12"/>
      <c r="I347" s="32"/>
      <c r="K347" s="190"/>
    </row>
    <row r="348" spans="1:11" s="13" customFormat="1">
      <c r="A348" s="11" t="s">
        <v>344</v>
      </c>
      <c r="B348" s="11" t="s">
        <v>820</v>
      </c>
      <c r="C348" s="11" t="s">
        <v>869</v>
      </c>
      <c r="D348" s="155" t="s">
        <v>868</v>
      </c>
      <c r="E348" s="11" t="s">
        <v>9</v>
      </c>
      <c r="F348" s="10">
        <f>F343</f>
        <v>4.2</v>
      </c>
      <c r="G348" s="12"/>
      <c r="H348" s="12"/>
      <c r="I348" s="32"/>
      <c r="K348" s="190"/>
    </row>
    <row r="349" spans="1:11" s="13" customFormat="1">
      <c r="A349" s="11"/>
      <c r="B349" s="11"/>
      <c r="C349" s="20"/>
      <c r="D349" s="264" t="s">
        <v>59</v>
      </c>
      <c r="E349" s="159"/>
      <c r="F349" s="159"/>
      <c r="G349" s="150"/>
      <c r="H349" s="17"/>
      <c r="I349" s="32"/>
      <c r="K349" s="190"/>
    </row>
    <row r="350" spans="1:11" s="13" customFormat="1">
      <c r="A350" s="11"/>
      <c r="B350" s="11"/>
      <c r="C350" s="20"/>
      <c r="D350" s="264"/>
      <c r="E350" s="159"/>
      <c r="F350" s="159"/>
      <c r="G350" s="150"/>
      <c r="H350" s="12"/>
      <c r="I350" s="32"/>
      <c r="K350" s="190"/>
    </row>
    <row r="351" spans="1:11" s="13" customFormat="1" ht="15" customHeight="1">
      <c r="A351" s="16"/>
      <c r="B351" s="14"/>
      <c r="C351" s="11"/>
      <c r="D351" s="37" t="s">
        <v>790</v>
      </c>
      <c r="E351" s="11"/>
      <c r="F351" s="40"/>
      <c r="G351" s="40"/>
      <c r="H351" s="17"/>
      <c r="I351" s="32"/>
      <c r="K351" s="190"/>
    </row>
    <row r="352" spans="1:11" s="13" customFormat="1" ht="15" customHeight="1">
      <c r="A352" s="16"/>
      <c r="B352" s="14"/>
      <c r="C352" s="11"/>
      <c r="D352" s="37"/>
      <c r="E352" s="11"/>
      <c r="F352" s="40"/>
      <c r="G352" s="40"/>
      <c r="H352" s="17"/>
      <c r="I352" s="32"/>
      <c r="K352" s="190"/>
    </row>
    <row r="353" spans="1:11" s="13" customFormat="1" ht="15" customHeight="1">
      <c r="A353" s="16"/>
      <c r="B353" s="14"/>
      <c r="C353" s="11"/>
      <c r="D353" s="37"/>
      <c r="E353" s="11"/>
      <c r="F353" s="40"/>
      <c r="G353" s="40"/>
      <c r="H353" s="17"/>
      <c r="I353" s="32"/>
      <c r="K353" s="190"/>
    </row>
    <row r="354" spans="1:11" s="13" customFormat="1" ht="15" customHeight="1">
      <c r="A354" s="222"/>
      <c r="B354" s="30"/>
      <c r="C354" s="30"/>
      <c r="D354" s="269" t="s">
        <v>897</v>
      </c>
      <c r="E354" s="30"/>
      <c r="F354" s="30"/>
      <c r="G354" s="269"/>
      <c r="H354" s="216"/>
      <c r="I354" s="32"/>
      <c r="K354" s="190"/>
    </row>
    <row r="355" spans="1:11" s="13" customFormat="1" ht="15" customHeight="1">
      <c r="A355" s="222"/>
      <c r="B355" s="30"/>
      <c r="C355" s="30"/>
      <c r="D355" s="269" t="s">
        <v>898</v>
      </c>
      <c r="E355" s="30"/>
      <c r="F355" s="270">
        <v>0.25</v>
      </c>
      <c r="G355" s="269"/>
      <c r="H355" s="216"/>
      <c r="I355" s="32"/>
      <c r="K355" s="190"/>
    </row>
    <row r="356" spans="1:11" s="13" customFormat="1" ht="15" customHeight="1">
      <c r="A356" s="222"/>
      <c r="B356" s="30"/>
      <c r="C356" s="30"/>
      <c r="D356" s="269" t="s">
        <v>899</v>
      </c>
      <c r="E356" s="30"/>
      <c r="F356" s="270"/>
      <c r="G356" s="271"/>
      <c r="H356" s="272"/>
      <c r="I356" s="32"/>
      <c r="K356" s="190"/>
    </row>
    <row r="357" spans="1:11" s="13" customFormat="1" ht="15" customHeight="1">
      <c r="A357" s="273"/>
      <c r="B357" s="274"/>
      <c r="C357" s="274"/>
      <c r="D357" s="157" t="s">
        <v>900</v>
      </c>
      <c r="E357" s="3"/>
      <c r="F357" s="3"/>
      <c r="G357" s="3"/>
      <c r="H357" s="275"/>
      <c r="I357" s="32"/>
      <c r="K357" s="190"/>
    </row>
    <row r="358" spans="1:11" s="13" customFormat="1" ht="15" customHeight="1">
      <c r="A358" s="273"/>
      <c r="B358" s="274"/>
      <c r="C358" s="274"/>
      <c r="D358" s="157" t="s">
        <v>412</v>
      </c>
      <c r="E358" s="3"/>
      <c r="F358" s="3"/>
      <c r="G358" s="3"/>
      <c r="H358" s="275"/>
      <c r="I358" s="32"/>
      <c r="K358" s="190"/>
    </row>
    <row r="359" spans="1:11">
      <c r="A359" s="49" t="s">
        <v>902</v>
      </c>
      <c r="B359" s="18"/>
      <c r="C359" s="18"/>
      <c r="D359" s="18"/>
      <c r="E359" s="18"/>
      <c r="F359" s="18"/>
      <c r="G359" s="18"/>
      <c r="H359" s="41"/>
      <c r="I359" s="19"/>
      <c r="J359" s="18"/>
      <c r="K359" s="212"/>
    </row>
    <row r="360" spans="1:11">
      <c r="A360" s="42"/>
      <c r="B360" s="18"/>
      <c r="C360" s="18"/>
      <c r="D360" s="18"/>
      <c r="E360" s="18"/>
      <c r="F360" s="18"/>
      <c r="G360" s="18"/>
      <c r="H360" s="41"/>
      <c r="I360" s="19"/>
      <c r="J360" s="18"/>
      <c r="K360" s="212"/>
    </row>
    <row r="361" spans="1:11">
      <c r="A361" s="42"/>
      <c r="B361" s="18"/>
      <c r="C361" s="18"/>
      <c r="D361" s="18"/>
      <c r="E361" s="18"/>
      <c r="F361" s="18"/>
      <c r="G361" s="18"/>
      <c r="H361" s="41"/>
      <c r="I361" s="19"/>
      <c r="J361" s="18"/>
      <c r="K361" s="212"/>
    </row>
    <row r="362" spans="1:11">
      <c r="A362" s="42"/>
      <c r="B362" s="184"/>
      <c r="C362" s="18"/>
      <c r="D362" s="24"/>
      <c r="E362" s="18"/>
      <c r="F362" s="18"/>
      <c r="G362" s="18"/>
      <c r="H362" s="41"/>
      <c r="I362" s="19"/>
      <c r="J362" s="18"/>
      <c r="K362" s="18"/>
    </row>
    <row r="363" spans="1:11">
      <c r="A363" s="42"/>
      <c r="B363" s="18"/>
      <c r="C363" s="18"/>
      <c r="D363" s="18"/>
      <c r="E363" s="18"/>
      <c r="F363" s="280"/>
      <c r="G363" s="280"/>
      <c r="H363" s="281"/>
      <c r="I363" s="211"/>
      <c r="J363" s="18"/>
      <c r="K363" s="18"/>
    </row>
    <row r="364" spans="1:11">
      <c r="A364" s="42"/>
      <c r="B364" s="18"/>
      <c r="C364" s="18"/>
      <c r="D364" s="18"/>
      <c r="E364" s="18"/>
      <c r="F364" s="282"/>
      <c r="G364" s="282"/>
      <c r="H364" s="283"/>
      <c r="I364" s="19"/>
      <c r="J364" s="18"/>
      <c r="K364" s="18"/>
    </row>
    <row r="365" spans="1:11">
      <c r="A365" s="42"/>
      <c r="B365" s="18"/>
      <c r="C365" s="18"/>
      <c r="D365" s="18"/>
      <c r="E365" s="18"/>
      <c r="F365" s="278"/>
      <c r="G365" s="278"/>
      <c r="H365" s="279"/>
      <c r="I365" s="211"/>
      <c r="J365" s="18"/>
      <c r="K365" s="18"/>
    </row>
    <row r="366" spans="1:11">
      <c r="A366" s="43"/>
      <c r="B366" s="44"/>
      <c r="C366" s="44"/>
      <c r="D366" s="44"/>
      <c r="E366" s="44"/>
      <c r="F366" s="44"/>
      <c r="G366" s="44"/>
      <c r="H366" s="45"/>
      <c r="I366" s="18"/>
      <c r="J366" s="18"/>
      <c r="K366" s="18"/>
    </row>
    <row r="367" spans="1:11">
      <c r="A367" s="18"/>
      <c r="I367" s="18"/>
      <c r="J367" s="18"/>
      <c r="K367" s="18"/>
    </row>
    <row r="555" spans="1:8">
      <c r="B555" s="1"/>
      <c r="C555" s="1"/>
      <c r="D555" s="1"/>
      <c r="E555" s="1"/>
      <c r="F555" s="1"/>
      <c r="G555" s="1"/>
      <c r="H555" s="1"/>
    </row>
    <row r="556" spans="1:8">
      <c r="B556" s="1"/>
      <c r="C556" s="1"/>
      <c r="D556" s="1"/>
      <c r="E556" s="1"/>
      <c r="F556" s="1"/>
      <c r="G556" s="1"/>
      <c r="H556" s="1"/>
    </row>
    <row r="557" spans="1:8">
      <c r="A557" s="1"/>
      <c r="B557" s="1"/>
      <c r="C557" s="1"/>
      <c r="D557" s="1"/>
      <c r="E557" s="1"/>
      <c r="F557" s="1"/>
      <c r="G557" s="1"/>
      <c r="H557" s="1"/>
    </row>
    <row r="558" spans="1:8">
      <c r="A558" s="1"/>
      <c r="B558" s="1"/>
      <c r="C558" s="1"/>
      <c r="D558" s="1"/>
      <c r="E558" s="1"/>
      <c r="F558" s="1"/>
      <c r="G558" s="1"/>
      <c r="H558" s="1"/>
    </row>
    <row r="559" spans="1:8">
      <c r="A559" s="1"/>
      <c r="B559" s="1"/>
      <c r="C559" s="1"/>
      <c r="D559" s="1"/>
      <c r="E559" s="1"/>
      <c r="F559" s="1"/>
      <c r="G559" s="1"/>
      <c r="H559" s="1"/>
    </row>
    <row r="560" spans="1:8">
      <c r="A560" s="1"/>
      <c r="B560" s="1"/>
      <c r="C560" s="1"/>
      <c r="D560" s="1"/>
      <c r="E560" s="1"/>
      <c r="F560" s="1"/>
      <c r="G560" s="1"/>
      <c r="H560" s="1"/>
    </row>
    <row r="561" spans="1:8">
      <c r="A561" s="1"/>
      <c r="B561" s="1"/>
      <c r="C561" s="1"/>
      <c r="D561" s="1"/>
      <c r="E561" s="1"/>
      <c r="F561" s="1"/>
      <c r="G561" s="1"/>
      <c r="H561" s="1"/>
    </row>
    <row r="562" spans="1:8">
      <c r="A562" s="1"/>
      <c r="B562" s="1"/>
      <c r="C562" s="1"/>
      <c r="D562" s="1"/>
      <c r="E562" s="1"/>
      <c r="F562" s="1"/>
      <c r="G562" s="1"/>
      <c r="H562" s="1"/>
    </row>
    <row r="563" spans="1:8">
      <c r="A563" s="1"/>
      <c r="B563" s="1"/>
      <c r="C563" s="1"/>
      <c r="D563" s="1"/>
      <c r="E563" s="1"/>
      <c r="F563" s="1"/>
      <c r="G563" s="1"/>
      <c r="H563" s="1"/>
    </row>
    <row r="564" spans="1:8">
      <c r="A564" s="1"/>
      <c r="B564" s="1"/>
      <c r="C564" s="1"/>
      <c r="D564" s="1"/>
      <c r="E564" s="1"/>
      <c r="F564" s="1"/>
      <c r="G564" s="1"/>
      <c r="H564" s="1"/>
    </row>
    <row r="565" spans="1:8">
      <c r="A565" s="1"/>
      <c r="B565" s="1"/>
      <c r="C565" s="1"/>
      <c r="D565" s="1"/>
      <c r="E565" s="1"/>
      <c r="F565" s="1"/>
      <c r="G565" s="1"/>
      <c r="H565" s="1"/>
    </row>
    <row r="566" spans="1:8">
      <c r="A566" s="1"/>
      <c r="B566" s="1"/>
      <c r="C566" s="1"/>
      <c r="D566" s="1"/>
      <c r="E566" s="1"/>
      <c r="F566" s="1"/>
      <c r="G566" s="1"/>
      <c r="H566" s="1"/>
    </row>
    <row r="567" spans="1:8">
      <c r="A567" s="1"/>
      <c r="B567" s="1"/>
      <c r="C567" s="1"/>
      <c r="D567" s="1"/>
      <c r="E567" s="1"/>
      <c r="F567" s="1"/>
      <c r="G567" s="1"/>
      <c r="H567" s="1"/>
    </row>
    <row r="568" spans="1:8">
      <c r="A568" s="1"/>
      <c r="B568" s="1"/>
      <c r="C568" s="1"/>
      <c r="D568" s="1"/>
      <c r="E568" s="1"/>
      <c r="F568" s="1"/>
      <c r="G568" s="1"/>
      <c r="H568" s="1"/>
    </row>
    <row r="569" spans="1:8">
      <c r="A569" s="1"/>
      <c r="B569" s="1"/>
      <c r="C569" s="1"/>
      <c r="D569" s="1"/>
      <c r="E569" s="1"/>
      <c r="F569" s="1"/>
      <c r="G569" s="1"/>
      <c r="H569" s="1"/>
    </row>
    <row r="570" spans="1:8">
      <c r="A570" s="1"/>
      <c r="B570" s="1"/>
      <c r="C570" s="1"/>
      <c r="D570" s="1"/>
      <c r="E570" s="1"/>
      <c r="F570" s="1"/>
      <c r="G570" s="1"/>
      <c r="H570" s="1"/>
    </row>
    <row r="571" spans="1:8">
      <c r="A571" s="1"/>
      <c r="B571" s="1"/>
      <c r="C571" s="1"/>
      <c r="D571" s="1"/>
      <c r="E571" s="1"/>
      <c r="F571" s="1"/>
      <c r="G571" s="1"/>
      <c r="H571" s="1"/>
    </row>
    <row r="572" spans="1:8">
      <c r="A572" s="1"/>
      <c r="B572" s="1"/>
      <c r="C572" s="1"/>
      <c r="D572" s="1"/>
      <c r="E572" s="1"/>
      <c r="F572" s="1"/>
      <c r="G572" s="1"/>
      <c r="H572" s="1"/>
    </row>
    <row r="573" spans="1:8">
      <c r="A573" s="1"/>
      <c r="B573" s="1"/>
      <c r="C573" s="1"/>
      <c r="D573" s="1"/>
      <c r="E573" s="1"/>
      <c r="F573" s="1"/>
      <c r="G573" s="1"/>
      <c r="H573" s="1"/>
    </row>
    <row r="574" spans="1:8">
      <c r="A574" s="1"/>
      <c r="B574" s="1"/>
      <c r="C574" s="1"/>
      <c r="D574" s="1"/>
      <c r="E574" s="1"/>
      <c r="F574" s="1"/>
      <c r="G574" s="1"/>
      <c r="H574" s="1"/>
    </row>
    <row r="575" spans="1:8">
      <c r="A575" s="1"/>
      <c r="B575" s="1"/>
      <c r="C575" s="1"/>
      <c r="D575" s="1"/>
      <c r="E575" s="1"/>
      <c r="F575" s="1"/>
      <c r="G575" s="1"/>
      <c r="H575" s="1"/>
    </row>
    <row r="576" spans="1:8">
      <c r="A576" s="1"/>
      <c r="B576" s="1"/>
      <c r="C576" s="1"/>
      <c r="D576" s="1"/>
      <c r="E576" s="1"/>
      <c r="F576" s="1"/>
      <c r="G576" s="1"/>
      <c r="H576" s="1"/>
    </row>
    <row r="577" spans="1:8">
      <c r="A577" s="1"/>
      <c r="B577" s="1"/>
      <c r="C577" s="1"/>
      <c r="D577" s="1"/>
      <c r="E577" s="1"/>
      <c r="F577" s="1"/>
      <c r="G577" s="1"/>
      <c r="H577" s="1"/>
    </row>
    <row r="578" spans="1:8">
      <c r="A578" s="1"/>
      <c r="B578" s="1"/>
      <c r="C578" s="1"/>
      <c r="D578" s="1"/>
      <c r="E578" s="1"/>
      <c r="F578" s="1"/>
      <c r="G578" s="1"/>
      <c r="H578" s="1"/>
    </row>
    <row r="579" spans="1:8">
      <c r="A579" s="1"/>
      <c r="B579" s="1"/>
      <c r="C579" s="1"/>
      <c r="D579" s="1"/>
      <c r="E579" s="1"/>
      <c r="F579" s="1"/>
      <c r="G579" s="1"/>
      <c r="H579" s="1"/>
    </row>
    <row r="580" spans="1:8">
      <c r="A580" s="1"/>
      <c r="B580" s="1"/>
      <c r="C580" s="1"/>
      <c r="D580" s="1"/>
      <c r="E580" s="1"/>
      <c r="F580" s="1"/>
      <c r="G580" s="1"/>
      <c r="H580" s="1"/>
    </row>
    <row r="581" spans="1:8">
      <c r="A581" s="1"/>
      <c r="B581" s="1"/>
      <c r="C581" s="1"/>
      <c r="D581" s="1"/>
      <c r="E581" s="1"/>
      <c r="F581" s="1"/>
      <c r="G581" s="1"/>
      <c r="H581" s="1"/>
    </row>
    <row r="582" spans="1:8">
      <c r="A582" s="1"/>
      <c r="B582" s="1"/>
      <c r="C582" s="1"/>
      <c r="D582" s="1"/>
      <c r="E582" s="1"/>
      <c r="F582" s="1"/>
      <c r="G582" s="1"/>
      <c r="H582" s="1"/>
    </row>
    <row r="583" spans="1:8">
      <c r="A583" s="1"/>
      <c r="B583" s="1"/>
      <c r="C583" s="1"/>
      <c r="D583" s="1"/>
      <c r="E583" s="1"/>
      <c r="F583" s="1"/>
      <c r="G583" s="1"/>
      <c r="H583" s="1"/>
    </row>
    <row r="584" spans="1:8">
      <c r="A584" s="1"/>
      <c r="B584" s="1"/>
      <c r="C584" s="1"/>
      <c r="D584" s="1"/>
      <c r="E584" s="1"/>
      <c r="F584" s="1"/>
      <c r="G584" s="1"/>
      <c r="H584" s="1"/>
    </row>
    <row r="585" spans="1:8">
      <c r="A585" s="1"/>
      <c r="B585" s="1"/>
      <c r="C585" s="1"/>
      <c r="D585" s="1"/>
      <c r="E585" s="1"/>
      <c r="F585" s="1"/>
      <c r="G585" s="1"/>
      <c r="H585" s="1"/>
    </row>
    <row r="586" spans="1:8">
      <c r="A586" s="1"/>
      <c r="B586" s="1"/>
      <c r="C586" s="1"/>
      <c r="D586" s="1"/>
      <c r="E586" s="1"/>
      <c r="F586" s="1"/>
      <c r="G586" s="1"/>
      <c r="H586" s="1"/>
    </row>
    <row r="587" spans="1:8">
      <c r="A587" s="1"/>
      <c r="B587" s="1"/>
      <c r="C587" s="1"/>
      <c r="D587" s="1"/>
      <c r="E587" s="1"/>
      <c r="F587" s="1"/>
      <c r="G587" s="1"/>
      <c r="H587" s="1"/>
    </row>
    <row r="588" spans="1:8">
      <c r="A588" s="1"/>
      <c r="B588" s="1"/>
      <c r="C588" s="1"/>
      <c r="D588" s="1"/>
      <c r="E588" s="1"/>
      <c r="F588" s="1"/>
      <c r="G588" s="1"/>
      <c r="H588" s="1"/>
    </row>
    <row r="589" spans="1:8">
      <c r="A589" s="1"/>
      <c r="B589" s="1"/>
      <c r="C589" s="1"/>
      <c r="D589" s="1"/>
      <c r="E589" s="1"/>
      <c r="F589" s="1"/>
      <c r="G589" s="1"/>
      <c r="H589" s="1"/>
    </row>
    <row r="590" spans="1:8">
      <c r="A590" s="1"/>
      <c r="B590" s="1"/>
      <c r="C590" s="1"/>
      <c r="D590" s="1"/>
      <c r="E590" s="1"/>
      <c r="F590" s="1"/>
      <c r="G590" s="1"/>
      <c r="H590" s="1"/>
    </row>
    <row r="591" spans="1:8">
      <c r="A591" s="1"/>
      <c r="B591" s="1"/>
      <c r="C591" s="1"/>
      <c r="D591" s="1"/>
      <c r="E591" s="1"/>
      <c r="F591" s="1"/>
      <c r="G591" s="1"/>
      <c r="H591" s="1"/>
    </row>
    <row r="592" spans="1:8">
      <c r="A592" s="1"/>
      <c r="B592" s="1"/>
      <c r="C592" s="1"/>
      <c r="D592" s="1"/>
      <c r="E592" s="1"/>
      <c r="F592" s="1"/>
      <c r="G592" s="1"/>
      <c r="H592" s="1"/>
    </row>
    <row r="593" spans="1:8">
      <c r="A593" s="1"/>
      <c r="B593" s="1"/>
      <c r="C593" s="1"/>
      <c r="D593" s="1"/>
      <c r="E593" s="1"/>
      <c r="F593" s="1"/>
      <c r="G593" s="1"/>
      <c r="H593" s="1"/>
    </row>
    <row r="594" spans="1:8">
      <c r="A594" s="1"/>
      <c r="B594" s="1"/>
      <c r="C594" s="1"/>
      <c r="D594" s="1"/>
      <c r="E594" s="1"/>
      <c r="F594" s="1"/>
      <c r="G594" s="1"/>
      <c r="H594" s="1"/>
    </row>
    <row r="595" spans="1:8">
      <c r="A595" s="1"/>
      <c r="B595" s="1"/>
      <c r="C595" s="1"/>
      <c r="D595" s="1"/>
      <c r="E595" s="1"/>
      <c r="F595" s="1"/>
      <c r="G595" s="1"/>
      <c r="H595" s="1"/>
    </row>
    <row r="596" spans="1:8">
      <c r="A596" s="1"/>
      <c r="B596" s="1"/>
      <c r="C596" s="1"/>
      <c r="D596" s="1"/>
      <c r="E596" s="1"/>
      <c r="F596" s="1"/>
      <c r="G596" s="1"/>
      <c r="H596" s="1"/>
    </row>
    <row r="597" spans="1:8">
      <c r="A597" s="1"/>
      <c r="B597" s="1"/>
      <c r="C597" s="1"/>
      <c r="D597" s="1"/>
      <c r="E597" s="1"/>
      <c r="F597" s="1"/>
      <c r="G597" s="1"/>
      <c r="H597" s="1"/>
    </row>
    <row r="598" spans="1:8">
      <c r="A598" s="1"/>
      <c r="B598" s="1"/>
      <c r="C598" s="1"/>
      <c r="D598" s="1"/>
      <c r="E598" s="1"/>
      <c r="F598" s="1"/>
      <c r="G598" s="1"/>
      <c r="H598" s="1"/>
    </row>
    <row r="599" spans="1:8">
      <c r="A599" s="1"/>
      <c r="B599" s="1"/>
      <c r="C599" s="1"/>
      <c r="D599" s="1"/>
      <c r="E599" s="1"/>
      <c r="F599" s="1"/>
      <c r="G599" s="1"/>
      <c r="H599" s="1"/>
    </row>
    <row r="600" spans="1:8">
      <c r="A600" s="1"/>
      <c r="B600" s="1"/>
      <c r="C600" s="1"/>
      <c r="D600" s="1"/>
      <c r="E600" s="1"/>
      <c r="F600" s="1"/>
      <c r="G600" s="1"/>
      <c r="H600" s="1"/>
    </row>
    <row r="601" spans="1:8">
      <c r="A601" s="1"/>
      <c r="B601" s="1"/>
      <c r="C601" s="1"/>
      <c r="D601" s="1"/>
      <c r="E601" s="1"/>
      <c r="F601" s="1"/>
      <c r="G601" s="1"/>
      <c r="H601" s="1"/>
    </row>
    <row r="602" spans="1:8">
      <c r="A602" s="1"/>
      <c r="B602" s="1"/>
      <c r="C602" s="1"/>
      <c r="D602" s="1"/>
      <c r="E602" s="1"/>
      <c r="F602" s="1"/>
      <c r="G602" s="1"/>
      <c r="H602" s="1"/>
    </row>
    <row r="603" spans="1:8">
      <c r="A603" s="1"/>
      <c r="B603" s="1"/>
      <c r="C603" s="1"/>
      <c r="D603" s="1"/>
      <c r="E603" s="1"/>
      <c r="F603" s="1"/>
      <c r="G603" s="1"/>
      <c r="H603" s="1"/>
    </row>
    <row r="604" spans="1:8">
      <c r="A604" s="1"/>
      <c r="B604" s="1"/>
      <c r="C604" s="1"/>
      <c r="D604" s="1"/>
      <c r="E604" s="1"/>
      <c r="F604" s="1"/>
      <c r="G604" s="1"/>
      <c r="H604" s="1"/>
    </row>
    <row r="605" spans="1:8">
      <c r="A605" s="1"/>
      <c r="B605" s="1"/>
      <c r="C605" s="1"/>
      <c r="D605" s="1"/>
      <c r="E605" s="1"/>
      <c r="F605" s="1"/>
      <c r="G605" s="1"/>
      <c r="H605" s="1"/>
    </row>
    <row r="606" spans="1:8">
      <c r="A606" s="1"/>
      <c r="B606" s="1"/>
      <c r="C606" s="1"/>
      <c r="D606" s="1"/>
      <c r="E606" s="1"/>
      <c r="F606" s="1"/>
      <c r="G606" s="1"/>
      <c r="H606" s="1"/>
    </row>
    <row r="607" spans="1:8">
      <c r="A607" s="1"/>
      <c r="B607" s="1"/>
      <c r="C607" s="1"/>
      <c r="D607" s="1"/>
      <c r="E607" s="1"/>
      <c r="F607" s="1"/>
      <c r="G607" s="1"/>
      <c r="H607" s="1"/>
    </row>
    <row r="608" spans="1:8">
      <c r="A608" s="1"/>
      <c r="B608" s="1"/>
      <c r="C608" s="1"/>
      <c r="D608" s="1"/>
      <c r="E608" s="1"/>
      <c r="F608" s="1"/>
      <c r="G608" s="1"/>
      <c r="H608" s="1"/>
    </row>
    <row r="609" spans="1:8">
      <c r="A609" s="1"/>
      <c r="B609" s="1"/>
      <c r="C609" s="1"/>
      <c r="D609" s="1"/>
      <c r="E609" s="1"/>
      <c r="F609" s="1"/>
      <c r="G609" s="1"/>
      <c r="H609" s="1"/>
    </row>
    <row r="610" spans="1:8">
      <c r="A610" s="1"/>
      <c r="B610" s="1"/>
      <c r="C610" s="1"/>
      <c r="D610" s="1"/>
      <c r="E610" s="1"/>
      <c r="F610" s="1"/>
      <c r="G610" s="1"/>
      <c r="H610" s="1"/>
    </row>
    <row r="611" spans="1:8">
      <c r="A611" s="1"/>
      <c r="B611" s="1"/>
      <c r="C611" s="1"/>
      <c r="D611" s="1"/>
      <c r="E611" s="1"/>
      <c r="F611" s="1"/>
      <c r="G611" s="1"/>
      <c r="H611" s="1"/>
    </row>
    <row r="612" spans="1:8">
      <c r="A612" s="1"/>
      <c r="B612" s="1"/>
      <c r="C612" s="1"/>
      <c r="D612" s="1"/>
      <c r="E612" s="1"/>
      <c r="F612" s="1"/>
      <c r="G612" s="1"/>
      <c r="H612" s="1"/>
    </row>
    <row r="613" spans="1:8">
      <c r="A613" s="1"/>
      <c r="B613" s="1"/>
      <c r="C613" s="1"/>
      <c r="D613" s="1"/>
      <c r="E613" s="1"/>
      <c r="F613" s="1"/>
      <c r="G613" s="1"/>
      <c r="H613" s="1"/>
    </row>
    <row r="614" spans="1:8">
      <c r="A614" s="1"/>
      <c r="B614" s="1"/>
      <c r="C614" s="1"/>
      <c r="D614" s="1"/>
      <c r="E614" s="1"/>
      <c r="F614" s="1"/>
      <c r="G614" s="1"/>
      <c r="H614" s="1"/>
    </row>
    <row r="615" spans="1:8">
      <c r="A615" s="1"/>
      <c r="B615" s="1"/>
      <c r="C615" s="1"/>
      <c r="D615" s="1"/>
      <c r="E615" s="1"/>
      <c r="F615" s="1"/>
      <c r="G615" s="1"/>
      <c r="H615" s="1"/>
    </row>
    <row r="616" spans="1:8">
      <c r="A616" s="1"/>
      <c r="B616" s="1"/>
      <c r="C616" s="1"/>
      <c r="D616" s="1"/>
      <c r="E616" s="1"/>
      <c r="F616" s="1"/>
      <c r="G616" s="1"/>
      <c r="H616" s="1"/>
    </row>
    <row r="617" spans="1:8">
      <c r="A617" s="1"/>
      <c r="B617" s="1"/>
      <c r="C617" s="1"/>
      <c r="D617" s="1"/>
      <c r="E617" s="1"/>
      <c r="F617" s="1"/>
      <c r="G617" s="1"/>
      <c r="H617" s="1"/>
    </row>
    <row r="618" spans="1:8">
      <c r="A618" s="1"/>
      <c r="B618" s="1"/>
      <c r="C618" s="1"/>
      <c r="D618" s="1"/>
      <c r="E618" s="1"/>
      <c r="F618" s="1"/>
      <c r="G618" s="1"/>
      <c r="H618" s="1"/>
    </row>
    <row r="619" spans="1:8">
      <c r="A619" s="1"/>
      <c r="B619" s="1"/>
      <c r="C619" s="1"/>
      <c r="D619" s="1"/>
      <c r="E619" s="1"/>
      <c r="F619" s="1"/>
      <c r="G619" s="1"/>
      <c r="H619" s="1"/>
    </row>
    <row r="620" spans="1:8">
      <c r="A620" s="1"/>
      <c r="B620" s="1"/>
      <c r="C620" s="1"/>
      <c r="D620" s="1"/>
      <c r="E620" s="1"/>
      <c r="F620" s="1"/>
      <c r="G620" s="1"/>
      <c r="H620" s="1"/>
    </row>
    <row r="621" spans="1:8">
      <c r="A621" s="1"/>
      <c r="B621" s="1"/>
      <c r="C621" s="1"/>
      <c r="D621" s="1"/>
      <c r="E621" s="1"/>
      <c r="F621" s="1"/>
      <c r="G621" s="1"/>
      <c r="H621" s="1"/>
    </row>
    <row r="622" spans="1:8">
      <c r="A622" s="1"/>
      <c r="B622" s="1"/>
      <c r="C622" s="1"/>
      <c r="D622" s="1"/>
      <c r="E622" s="1"/>
      <c r="F622" s="1"/>
      <c r="G622" s="1"/>
      <c r="H622" s="1"/>
    </row>
    <row r="623" spans="1:8">
      <c r="A623" s="1"/>
      <c r="B623" s="1"/>
      <c r="C623" s="1"/>
      <c r="D623" s="1"/>
      <c r="E623" s="1"/>
      <c r="F623" s="1"/>
      <c r="G623" s="1"/>
      <c r="H623" s="1"/>
    </row>
    <row r="624" spans="1:8">
      <c r="A624" s="1"/>
      <c r="B624" s="1"/>
      <c r="C624" s="1"/>
      <c r="D624" s="1"/>
      <c r="E624" s="1"/>
      <c r="F624" s="1"/>
      <c r="G624" s="1"/>
      <c r="H624" s="1"/>
    </row>
    <row r="625" spans="1:8">
      <c r="A625" s="1"/>
      <c r="B625" s="1"/>
      <c r="C625" s="1"/>
      <c r="D625" s="1"/>
      <c r="E625" s="1"/>
      <c r="F625" s="1"/>
      <c r="G625" s="1"/>
      <c r="H625" s="1"/>
    </row>
    <row r="626" spans="1:8">
      <c r="A626" s="1"/>
      <c r="B626" s="1"/>
      <c r="C626" s="1"/>
      <c r="D626" s="1"/>
      <c r="E626" s="1"/>
      <c r="F626" s="1"/>
      <c r="G626" s="1"/>
      <c r="H626" s="1"/>
    </row>
    <row r="627" spans="1:8">
      <c r="A627" s="1"/>
      <c r="B627" s="1"/>
      <c r="C627" s="1"/>
      <c r="D627" s="1"/>
      <c r="E627" s="1"/>
      <c r="F627" s="1"/>
      <c r="G627" s="1"/>
      <c r="H627" s="1"/>
    </row>
    <row r="628" spans="1:8">
      <c r="A628" s="1"/>
      <c r="B628" s="1"/>
      <c r="C628" s="1"/>
      <c r="D628" s="1"/>
      <c r="E628" s="1"/>
      <c r="F628" s="1"/>
      <c r="G628" s="1"/>
      <c r="H628" s="1"/>
    </row>
    <row r="629" spans="1:8">
      <c r="A629" s="1"/>
      <c r="B629" s="1"/>
      <c r="C629" s="1"/>
      <c r="D629" s="1"/>
      <c r="E629" s="1"/>
      <c r="F629" s="1"/>
      <c r="G629" s="1"/>
      <c r="H629" s="1"/>
    </row>
    <row r="630" spans="1:8">
      <c r="A630" s="1"/>
      <c r="B630" s="1"/>
      <c r="C630" s="1"/>
      <c r="D630" s="1"/>
      <c r="E630" s="1"/>
      <c r="F630" s="1"/>
      <c r="G630" s="1"/>
      <c r="H630" s="1"/>
    </row>
    <row r="631" spans="1:8">
      <c r="A631" s="1"/>
      <c r="B631" s="1"/>
      <c r="C631" s="1"/>
      <c r="D631" s="1"/>
      <c r="E631" s="1"/>
      <c r="F631" s="1"/>
      <c r="G631" s="1"/>
      <c r="H631" s="1"/>
    </row>
    <row r="632" spans="1:8">
      <c r="A632" s="1"/>
      <c r="B632" s="1"/>
      <c r="C632" s="1"/>
      <c r="D632" s="1"/>
      <c r="E632" s="1"/>
      <c r="F632" s="1"/>
      <c r="G632" s="1"/>
      <c r="H632" s="1"/>
    </row>
    <row r="633" spans="1:8">
      <c r="A633" s="1"/>
      <c r="B633" s="1"/>
      <c r="C633" s="1"/>
      <c r="D633" s="1"/>
      <c r="E633" s="1"/>
      <c r="F633" s="1"/>
      <c r="G633" s="1"/>
      <c r="H633" s="1"/>
    </row>
    <row r="634" spans="1:8">
      <c r="A634" s="1"/>
      <c r="B634" s="1"/>
      <c r="C634" s="1"/>
      <c r="D634" s="1"/>
      <c r="E634" s="1"/>
      <c r="F634" s="1"/>
      <c r="G634" s="1"/>
      <c r="H634" s="1"/>
    </row>
    <row r="635" spans="1:8">
      <c r="A635" s="1"/>
      <c r="B635" s="1"/>
      <c r="C635" s="1"/>
      <c r="D635" s="1"/>
      <c r="E635" s="1"/>
      <c r="F635" s="1"/>
      <c r="G635" s="1"/>
      <c r="H635" s="1"/>
    </row>
    <row r="636" spans="1:8">
      <c r="A636" s="1"/>
      <c r="B636" s="1"/>
      <c r="C636" s="1"/>
      <c r="D636" s="1"/>
      <c r="E636" s="1"/>
      <c r="F636" s="1"/>
      <c r="G636" s="1"/>
      <c r="H636" s="1"/>
    </row>
    <row r="637" spans="1:8">
      <c r="A637" s="1"/>
      <c r="B637" s="1"/>
      <c r="C637" s="1"/>
      <c r="D637" s="1"/>
      <c r="E637" s="1"/>
      <c r="F637" s="1"/>
      <c r="G637" s="1"/>
      <c r="H637" s="1"/>
    </row>
    <row r="638" spans="1:8">
      <c r="A638" s="1"/>
      <c r="B638" s="1"/>
      <c r="C638" s="1"/>
      <c r="D638" s="1"/>
      <c r="E638" s="1"/>
      <c r="F638" s="1"/>
      <c r="G638" s="1"/>
      <c r="H638" s="1"/>
    </row>
    <row r="639" spans="1:8">
      <c r="A639" s="1"/>
      <c r="B639" s="1"/>
      <c r="C639" s="1"/>
      <c r="D639" s="1"/>
      <c r="E639" s="1"/>
      <c r="F639" s="1"/>
      <c r="G639" s="1"/>
      <c r="H639" s="1"/>
    </row>
    <row r="640" spans="1:8">
      <c r="A640" s="1"/>
      <c r="B640" s="1"/>
      <c r="C640" s="1"/>
      <c r="D640" s="1"/>
      <c r="E640" s="1"/>
      <c r="F640" s="1"/>
      <c r="G640" s="1"/>
      <c r="H640" s="1"/>
    </row>
    <row r="641" spans="1:8">
      <c r="A641" s="1"/>
      <c r="B641" s="1"/>
      <c r="C641" s="1"/>
      <c r="D641" s="1"/>
      <c r="E641" s="1"/>
      <c r="F641" s="1"/>
      <c r="G641" s="1"/>
      <c r="H641" s="1"/>
    </row>
    <row r="642" spans="1:8">
      <c r="A642" s="1"/>
      <c r="B642" s="1"/>
      <c r="C642" s="1"/>
      <c r="D642" s="1"/>
      <c r="E642" s="1"/>
      <c r="F642" s="1"/>
      <c r="G642" s="1"/>
      <c r="H642" s="1"/>
    </row>
    <row r="643" spans="1:8">
      <c r="A643" s="1"/>
      <c r="B643" s="1"/>
      <c r="C643" s="1"/>
      <c r="D643" s="1"/>
      <c r="E643" s="1"/>
      <c r="F643" s="1"/>
      <c r="G643" s="1"/>
      <c r="H643" s="1"/>
    </row>
    <row r="644" spans="1:8">
      <c r="A644" s="1"/>
      <c r="B644" s="1"/>
      <c r="C644" s="1"/>
      <c r="D644" s="1"/>
      <c r="E644" s="1"/>
      <c r="F644" s="1"/>
      <c r="G644" s="1"/>
      <c r="H644" s="1"/>
    </row>
    <row r="645" spans="1:8">
      <c r="A645" s="1"/>
      <c r="B645" s="1"/>
      <c r="C645" s="1"/>
      <c r="D645" s="1"/>
      <c r="E645" s="1"/>
      <c r="F645" s="1"/>
      <c r="G645" s="1"/>
      <c r="H645" s="1"/>
    </row>
    <row r="646" spans="1:8">
      <c r="A646" s="1"/>
      <c r="B646" s="1"/>
      <c r="C646" s="1"/>
      <c r="D646" s="1"/>
      <c r="E646" s="1"/>
      <c r="F646" s="1"/>
      <c r="G646" s="1"/>
      <c r="H646" s="1"/>
    </row>
    <row r="647" spans="1:8">
      <c r="A647" s="1"/>
      <c r="B647" s="1"/>
      <c r="C647" s="1"/>
      <c r="D647" s="1"/>
      <c r="E647" s="1"/>
      <c r="F647" s="1"/>
      <c r="G647" s="1"/>
      <c r="H647" s="1"/>
    </row>
    <row r="648" spans="1:8">
      <c r="A648" s="1"/>
      <c r="B648" s="1"/>
      <c r="C648" s="1"/>
      <c r="D648" s="1"/>
      <c r="E648" s="1"/>
      <c r="F648" s="1"/>
      <c r="G648" s="1"/>
      <c r="H648" s="1"/>
    </row>
    <row r="649" spans="1:8">
      <c r="A649" s="1"/>
      <c r="B649" s="1"/>
      <c r="C649" s="1"/>
      <c r="D649" s="1"/>
      <c r="E649" s="1"/>
      <c r="F649" s="1"/>
      <c r="G649" s="1"/>
      <c r="H649" s="1"/>
    </row>
    <row r="650" spans="1:8">
      <c r="A650" s="1"/>
      <c r="B650" s="1"/>
      <c r="C650" s="1"/>
      <c r="D650" s="1"/>
      <c r="E650" s="1"/>
      <c r="F650" s="1"/>
      <c r="G650" s="1"/>
      <c r="H650" s="1"/>
    </row>
    <row r="651" spans="1:8">
      <c r="A651" s="1"/>
      <c r="B651" s="1"/>
      <c r="C651" s="1"/>
      <c r="D651" s="1"/>
      <c r="E651" s="1"/>
      <c r="F651" s="1"/>
      <c r="G651" s="1"/>
      <c r="H651" s="1"/>
    </row>
    <row r="652" spans="1:8">
      <c r="A652" s="1"/>
      <c r="B652" s="1"/>
      <c r="C652" s="1"/>
      <c r="D652" s="1"/>
      <c r="E652" s="1"/>
      <c r="F652" s="1"/>
      <c r="G652" s="1"/>
      <c r="H652" s="1"/>
    </row>
    <row r="653" spans="1:8">
      <c r="A653" s="1"/>
      <c r="B653" s="1"/>
      <c r="C653" s="1"/>
      <c r="D653" s="1"/>
      <c r="E653" s="1"/>
      <c r="F653" s="1"/>
      <c r="G653" s="1"/>
      <c r="H653" s="1"/>
    </row>
    <row r="654" spans="1:8">
      <c r="A654" s="1"/>
      <c r="B654" s="1"/>
      <c r="C654" s="1"/>
      <c r="D654" s="1"/>
      <c r="E654" s="1"/>
      <c r="F654" s="1"/>
      <c r="G654" s="1"/>
      <c r="H654" s="1"/>
    </row>
    <row r="655" spans="1:8">
      <c r="A655" s="1"/>
      <c r="B655" s="1"/>
      <c r="C655" s="1"/>
      <c r="D655" s="1"/>
      <c r="E655" s="1"/>
      <c r="F655" s="1"/>
      <c r="G655" s="1"/>
      <c r="H655" s="1"/>
    </row>
    <row r="656" spans="1:8">
      <c r="A656" s="1"/>
      <c r="B656" s="1"/>
      <c r="C656" s="1"/>
      <c r="D656" s="1"/>
      <c r="E656" s="1"/>
      <c r="F656" s="1"/>
      <c r="G656" s="1"/>
      <c r="H656" s="1"/>
    </row>
    <row r="657" spans="1:8">
      <c r="A657" s="1"/>
      <c r="B657" s="1"/>
      <c r="C657" s="1"/>
      <c r="D657" s="1"/>
      <c r="E657" s="1"/>
      <c r="F657" s="1"/>
      <c r="G657" s="1"/>
      <c r="H657" s="1"/>
    </row>
    <row r="658" spans="1:8">
      <c r="A658" s="1"/>
      <c r="B658" s="1"/>
      <c r="C658" s="1"/>
      <c r="D658" s="1"/>
      <c r="E658" s="1"/>
      <c r="F658" s="1"/>
      <c r="G658" s="1"/>
      <c r="H658" s="1"/>
    </row>
    <row r="659" spans="1:8">
      <c r="A659" s="1"/>
      <c r="B659" s="1"/>
      <c r="C659" s="1"/>
      <c r="D659" s="1"/>
      <c r="E659" s="1"/>
      <c r="F659" s="1"/>
      <c r="G659" s="1"/>
      <c r="H659" s="1"/>
    </row>
    <row r="660" spans="1:8">
      <c r="A660" s="1"/>
      <c r="B660" s="1"/>
      <c r="C660" s="1"/>
      <c r="D660" s="1"/>
      <c r="E660" s="1"/>
      <c r="F660" s="1"/>
      <c r="G660" s="1"/>
      <c r="H660" s="1"/>
    </row>
    <row r="661" spans="1:8">
      <c r="A661" s="1"/>
      <c r="B661" s="1"/>
      <c r="C661" s="1"/>
      <c r="D661" s="1"/>
      <c r="E661" s="1"/>
      <c r="F661" s="1"/>
      <c r="G661" s="1"/>
      <c r="H661" s="1"/>
    </row>
    <row r="662" spans="1:8">
      <c r="A662" s="1"/>
      <c r="B662" s="1"/>
      <c r="C662" s="1"/>
      <c r="D662" s="1"/>
      <c r="E662" s="1"/>
      <c r="F662" s="1"/>
      <c r="G662" s="1"/>
      <c r="H662" s="1"/>
    </row>
    <row r="663" spans="1:8">
      <c r="A663" s="1"/>
      <c r="B663" s="1"/>
      <c r="C663" s="1"/>
      <c r="D663" s="1"/>
      <c r="E663" s="1"/>
      <c r="F663" s="1"/>
      <c r="G663" s="1"/>
      <c r="H663" s="1"/>
    </row>
    <row r="664" spans="1:8">
      <c r="A664" s="1"/>
      <c r="B664" s="1"/>
      <c r="C664" s="1"/>
      <c r="D664" s="1"/>
      <c r="E664" s="1"/>
      <c r="F664" s="1"/>
      <c r="G664" s="1"/>
      <c r="H664" s="1"/>
    </row>
    <row r="665" spans="1:8">
      <c r="A665" s="1"/>
      <c r="B665" s="1"/>
      <c r="C665" s="1"/>
      <c r="D665" s="1"/>
      <c r="E665" s="1"/>
      <c r="F665" s="1"/>
      <c r="G665" s="1"/>
      <c r="H665" s="1"/>
    </row>
    <row r="666" spans="1:8">
      <c r="A666" s="1"/>
      <c r="B666" s="1"/>
      <c r="C666" s="1"/>
      <c r="D666" s="1"/>
      <c r="E666" s="1"/>
      <c r="F666" s="1"/>
      <c r="G666" s="1"/>
      <c r="H666" s="1"/>
    </row>
    <row r="667" spans="1:8">
      <c r="A667" s="1"/>
      <c r="B667" s="1"/>
      <c r="C667" s="1"/>
      <c r="D667" s="1"/>
      <c r="E667" s="1"/>
      <c r="F667" s="1"/>
      <c r="G667" s="1"/>
      <c r="H667" s="1"/>
    </row>
    <row r="668" spans="1:8">
      <c r="A668" s="1"/>
      <c r="B668" s="1"/>
      <c r="C668" s="1"/>
      <c r="D668" s="1"/>
      <c r="E668" s="1"/>
      <c r="F668" s="1"/>
      <c r="G668" s="1"/>
      <c r="H668" s="1"/>
    </row>
    <row r="669" spans="1:8">
      <c r="A669" s="1"/>
      <c r="B669" s="1"/>
      <c r="C669" s="1"/>
      <c r="D669" s="1"/>
      <c r="E669" s="1"/>
      <c r="F669" s="1"/>
      <c r="G669" s="1"/>
      <c r="H669" s="1"/>
    </row>
    <row r="670" spans="1:8">
      <c r="A670" s="1"/>
      <c r="B670" s="1"/>
      <c r="C670" s="1"/>
      <c r="D670" s="1"/>
      <c r="E670" s="1"/>
      <c r="F670" s="1"/>
      <c r="G670" s="1"/>
      <c r="H670" s="1"/>
    </row>
    <row r="671" spans="1:8">
      <c r="A671" s="1"/>
      <c r="B671" s="1"/>
      <c r="C671" s="1"/>
      <c r="D671" s="1"/>
      <c r="E671" s="1"/>
      <c r="F671" s="1"/>
      <c r="G671" s="1"/>
      <c r="H671" s="1"/>
    </row>
    <row r="672" spans="1:8">
      <c r="A672" s="1"/>
      <c r="B672" s="1"/>
      <c r="C672" s="1"/>
      <c r="D672" s="1"/>
      <c r="E672" s="1"/>
      <c r="F672" s="1"/>
      <c r="G672" s="1"/>
      <c r="H672" s="1"/>
    </row>
    <row r="673" spans="1:8">
      <c r="A673" s="1"/>
      <c r="B673" s="1"/>
      <c r="C673" s="1"/>
      <c r="D673" s="1"/>
      <c r="E673" s="1"/>
      <c r="F673" s="1"/>
      <c r="G673" s="1"/>
      <c r="H673" s="1"/>
    </row>
    <row r="674" spans="1:8">
      <c r="A674" s="1"/>
      <c r="B674" s="1"/>
      <c r="C674" s="1"/>
      <c r="D674" s="1"/>
      <c r="E674" s="1"/>
      <c r="F674" s="1"/>
      <c r="G674" s="1"/>
      <c r="H674" s="1"/>
    </row>
    <row r="675" spans="1:8">
      <c r="A675" s="1"/>
      <c r="B675" s="1"/>
      <c r="C675" s="1"/>
      <c r="D675" s="1"/>
      <c r="E675" s="1"/>
      <c r="F675" s="1"/>
      <c r="G675" s="1"/>
      <c r="H675" s="1"/>
    </row>
    <row r="676" spans="1:8">
      <c r="A676" s="1"/>
      <c r="B676" s="1"/>
      <c r="C676" s="1"/>
      <c r="D676" s="1"/>
      <c r="E676" s="1"/>
      <c r="F676" s="1"/>
      <c r="G676" s="1"/>
      <c r="H676" s="1"/>
    </row>
    <row r="677" spans="1:8">
      <c r="A677" s="1"/>
      <c r="B677" s="1"/>
      <c r="C677" s="1"/>
      <c r="D677" s="1"/>
      <c r="E677" s="1"/>
      <c r="F677" s="1"/>
      <c r="G677" s="1"/>
      <c r="H677" s="1"/>
    </row>
    <row r="678" spans="1:8">
      <c r="A678" s="1"/>
      <c r="B678" s="1"/>
      <c r="C678" s="1"/>
      <c r="D678" s="1"/>
      <c r="E678" s="1"/>
      <c r="F678" s="1"/>
      <c r="G678" s="1"/>
      <c r="H678" s="1"/>
    </row>
    <row r="679" spans="1:8">
      <c r="A679" s="1"/>
      <c r="B679" s="1"/>
      <c r="C679" s="1"/>
      <c r="D679" s="1"/>
      <c r="E679" s="1"/>
      <c r="F679" s="1"/>
      <c r="G679" s="1"/>
      <c r="H679" s="1"/>
    </row>
    <row r="680" spans="1:8">
      <c r="A680" s="1"/>
      <c r="B680" s="1"/>
      <c r="C680" s="1"/>
      <c r="D680" s="1"/>
      <c r="E680" s="1"/>
      <c r="F680" s="1"/>
      <c r="G680" s="1"/>
      <c r="H680" s="1"/>
    </row>
    <row r="681" spans="1:8">
      <c r="A681" s="1"/>
      <c r="B681" s="1"/>
      <c r="C681" s="1"/>
      <c r="D681" s="1"/>
      <c r="E681" s="1"/>
      <c r="F681" s="1"/>
      <c r="G681" s="1"/>
      <c r="H681" s="1"/>
    </row>
    <row r="682" spans="1:8">
      <c r="A682" s="1"/>
      <c r="B682" s="1"/>
      <c r="C682" s="1"/>
      <c r="D682" s="1"/>
      <c r="E682" s="1"/>
      <c r="F682" s="1"/>
      <c r="G682" s="1"/>
      <c r="H682" s="1"/>
    </row>
    <row r="683" spans="1:8">
      <c r="A683" s="1"/>
      <c r="B683" s="1"/>
      <c r="C683" s="1"/>
      <c r="D683" s="1"/>
      <c r="E683" s="1"/>
      <c r="F683" s="1"/>
      <c r="G683" s="1"/>
      <c r="H683" s="1"/>
    </row>
    <row r="684" spans="1:8">
      <c r="A684" s="1"/>
      <c r="B684" s="1"/>
      <c r="C684" s="1"/>
      <c r="D684" s="1"/>
      <c r="E684" s="1"/>
      <c r="F684" s="1"/>
      <c r="G684" s="1"/>
      <c r="H684" s="1"/>
    </row>
    <row r="685" spans="1:8">
      <c r="A685" s="1"/>
      <c r="B685" s="1"/>
      <c r="C685" s="1"/>
      <c r="D685" s="1"/>
      <c r="E685" s="1"/>
      <c r="F685" s="1"/>
      <c r="G685" s="1"/>
      <c r="H685" s="1"/>
    </row>
    <row r="686" spans="1:8">
      <c r="A686" s="1"/>
      <c r="B686" s="1"/>
      <c r="C686" s="1"/>
      <c r="D686" s="1"/>
      <c r="E686" s="1"/>
      <c r="F686" s="1"/>
      <c r="G686" s="1"/>
      <c r="H686" s="1"/>
    </row>
    <row r="687" spans="1:8">
      <c r="A687" s="1"/>
      <c r="B687" s="1"/>
      <c r="C687" s="1"/>
      <c r="D687" s="1"/>
      <c r="E687" s="1"/>
      <c r="F687" s="1"/>
      <c r="G687" s="1"/>
      <c r="H687" s="1"/>
    </row>
    <row r="688" spans="1:8">
      <c r="A688" s="1"/>
      <c r="B688" s="1"/>
      <c r="C688" s="1"/>
      <c r="D688" s="1"/>
      <c r="E688" s="1"/>
      <c r="F688" s="1"/>
      <c r="G688" s="1"/>
      <c r="H688" s="1"/>
    </row>
    <row r="689" spans="1:8">
      <c r="A689" s="1"/>
      <c r="B689" s="1"/>
      <c r="C689" s="1"/>
      <c r="D689" s="1"/>
      <c r="E689" s="1"/>
      <c r="F689" s="1"/>
      <c r="G689" s="1"/>
      <c r="H689" s="1"/>
    </row>
    <row r="690" spans="1:8">
      <c r="A690" s="1"/>
      <c r="B690" s="1"/>
      <c r="C690" s="1"/>
      <c r="D690" s="1"/>
      <c r="E690" s="1"/>
      <c r="F690" s="1"/>
      <c r="G690" s="1"/>
      <c r="H690" s="1"/>
    </row>
    <row r="691" spans="1:8">
      <c r="A691" s="1"/>
      <c r="B691" s="1"/>
      <c r="C691" s="1"/>
      <c r="D691" s="1"/>
      <c r="E691" s="1"/>
      <c r="F691" s="1"/>
      <c r="G691" s="1"/>
      <c r="H691" s="1"/>
    </row>
    <row r="692" spans="1:8">
      <c r="A692" s="1"/>
      <c r="B692" s="1"/>
      <c r="C692" s="1"/>
      <c r="D692" s="1"/>
      <c r="E692" s="1"/>
      <c r="F692" s="1"/>
      <c r="G692" s="1"/>
      <c r="H692" s="1"/>
    </row>
    <row r="693" spans="1:8">
      <c r="A693" s="1"/>
      <c r="B693" s="1"/>
      <c r="C693" s="1"/>
      <c r="D693" s="1"/>
      <c r="E693" s="1"/>
      <c r="F693" s="1"/>
      <c r="G693" s="1"/>
      <c r="H693" s="1"/>
    </row>
    <row r="694" spans="1:8">
      <c r="A694" s="1"/>
      <c r="B694" s="1"/>
      <c r="C694" s="1"/>
      <c r="D694" s="1"/>
      <c r="E694" s="1"/>
      <c r="F694" s="1"/>
      <c r="G694" s="1"/>
      <c r="H694" s="1"/>
    </row>
    <row r="695" spans="1:8">
      <c r="A695" s="1"/>
      <c r="B695" s="1"/>
      <c r="C695" s="1"/>
      <c r="D695" s="1"/>
      <c r="E695" s="1"/>
      <c r="F695" s="1"/>
      <c r="G695" s="1"/>
      <c r="H695" s="1"/>
    </row>
    <row r="696" spans="1:8">
      <c r="A696" s="1"/>
      <c r="B696" s="1"/>
      <c r="C696" s="1"/>
      <c r="D696" s="1"/>
      <c r="E696" s="1"/>
      <c r="F696" s="1"/>
      <c r="G696" s="1"/>
      <c r="H696" s="1"/>
    </row>
    <row r="697" spans="1:8">
      <c r="A697" s="1"/>
      <c r="B697" s="1"/>
      <c r="C697" s="1"/>
      <c r="D697" s="1"/>
      <c r="E697" s="1"/>
      <c r="F697" s="1"/>
      <c r="G697" s="1"/>
      <c r="H697" s="1"/>
    </row>
    <row r="698" spans="1:8">
      <c r="A698" s="1"/>
      <c r="B698" s="1"/>
      <c r="C698" s="1"/>
      <c r="D698" s="1"/>
      <c r="E698" s="1"/>
      <c r="F698" s="1"/>
      <c r="G698" s="1"/>
      <c r="H698" s="1"/>
    </row>
    <row r="699" spans="1:8">
      <c r="A699" s="1"/>
      <c r="B699" s="1"/>
      <c r="C699" s="1"/>
      <c r="D699" s="1"/>
      <c r="E699" s="1"/>
      <c r="F699" s="1"/>
      <c r="G699" s="1"/>
      <c r="H699" s="1"/>
    </row>
    <row r="700" spans="1:8">
      <c r="A700" s="1"/>
      <c r="B700" s="1"/>
      <c r="C700" s="1"/>
      <c r="D700" s="1"/>
      <c r="E700" s="1"/>
      <c r="F700" s="1"/>
      <c r="G700" s="1"/>
      <c r="H700" s="1"/>
    </row>
    <row r="701" spans="1:8">
      <c r="A701" s="1"/>
      <c r="B701" s="1"/>
      <c r="C701" s="1"/>
      <c r="D701" s="1"/>
      <c r="E701" s="1"/>
      <c r="F701" s="1"/>
      <c r="G701" s="1"/>
      <c r="H701" s="1"/>
    </row>
    <row r="702" spans="1:8">
      <c r="A702" s="1"/>
      <c r="B702" s="1"/>
      <c r="C702" s="1"/>
      <c r="D702" s="1"/>
      <c r="E702" s="1"/>
      <c r="F702" s="1"/>
      <c r="G702" s="1"/>
      <c r="H702" s="1"/>
    </row>
    <row r="703" spans="1:8">
      <c r="A703" s="1"/>
      <c r="B703" s="1"/>
      <c r="C703" s="1"/>
      <c r="D703" s="1"/>
      <c r="E703" s="1"/>
      <c r="F703" s="1"/>
      <c r="G703" s="1"/>
      <c r="H703" s="1"/>
    </row>
    <row r="704" spans="1:8">
      <c r="A704" s="1"/>
      <c r="B704" s="1"/>
      <c r="C704" s="1"/>
      <c r="D704" s="1"/>
      <c r="E704" s="1"/>
      <c r="F704" s="1"/>
      <c r="G704" s="1"/>
      <c r="H704" s="1"/>
    </row>
    <row r="705" spans="1:8">
      <c r="A705" s="1"/>
      <c r="B705" s="1"/>
      <c r="C705" s="1"/>
      <c r="D705" s="1"/>
      <c r="E705" s="1"/>
      <c r="F705" s="1"/>
      <c r="G705" s="1"/>
      <c r="H705" s="1"/>
    </row>
    <row r="706" spans="1:8">
      <c r="A706" s="1"/>
      <c r="B706" s="1"/>
      <c r="C706" s="1"/>
      <c r="D706" s="1"/>
      <c r="E706" s="1"/>
      <c r="F706" s="1"/>
      <c r="G706" s="1"/>
      <c r="H706" s="1"/>
    </row>
    <row r="707" spans="1:8">
      <c r="A707" s="1"/>
      <c r="B707" s="1"/>
      <c r="C707" s="1"/>
      <c r="D707" s="1"/>
      <c r="E707" s="1"/>
      <c r="F707" s="1"/>
      <c r="G707" s="1"/>
      <c r="H707" s="1"/>
    </row>
    <row r="708" spans="1:8">
      <c r="A708" s="1"/>
      <c r="B708" s="1"/>
      <c r="C708" s="1"/>
      <c r="D708" s="1"/>
      <c r="E708" s="1"/>
      <c r="F708" s="1"/>
      <c r="G708" s="1"/>
      <c r="H708" s="1"/>
    </row>
    <row r="709" spans="1:8">
      <c r="A709" s="1"/>
      <c r="B709" s="1"/>
      <c r="C709" s="1"/>
      <c r="D709" s="1"/>
      <c r="E709" s="1"/>
      <c r="F709" s="1"/>
      <c r="G709" s="1"/>
      <c r="H709" s="1"/>
    </row>
    <row r="710" spans="1:8">
      <c r="A710" s="1"/>
      <c r="B710" s="1"/>
      <c r="C710" s="1"/>
      <c r="D710" s="1"/>
      <c r="E710" s="1"/>
      <c r="F710" s="1"/>
      <c r="G710" s="1"/>
      <c r="H710" s="1"/>
    </row>
    <row r="711" spans="1:8">
      <c r="A711" s="1"/>
      <c r="B711" s="1"/>
      <c r="C711" s="1"/>
      <c r="D711" s="1"/>
      <c r="E711" s="1"/>
      <c r="F711" s="1"/>
      <c r="G711" s="1"/>
      <c r="H711" s="1"/>
    </row>
    <row r="712" spans="1:8">
      <c r="A712" s="1"/>
      <c r="B712" s="1"/>
      <c r="C712" s="1"/>
      <c r="D712" s="1"/>
      <c r="E712" s="1"/>
      <c r="F712" s="1"/>
      <c r="G712" s="1"/>
      <c r="H712" s="1"/>
    </row>
    <row r="713" spans="1:8">
      <c r="A713" s="1"/>
      <c r="B713" s="1"/>
      <c r="C713" s="1"/>
      <c r="D713" s="1"/>
      <c r="E713" s="1"/>
      <c r="F713" s="1"/>
      <c r="G713" s="1"/>
      <c r="H713" s="1"/>
    </row>
    <row r="714" spans="1:8">
      <c r="A714" s="1"/>
      <c r="B714" s="1"/>
      <c r="C714" s="1"/>
      <c r="D714" s="1"/>
      <c r="E714" s="1"/>
      <c r="F714" s="1"/>
      <c r="G714" s="1"/>
      <c r="H714" s="1"/>
    </row>
    <row r="715" spans="1:8">
      <c r="A715" s="1"/>
      <c r="B715" s="1"/>
      <c r="C715" s="1"/>
      <c r="D715" s="1"/>
      <c r="E715" s="1"/>
      <c r="F715" s="1"/>
      <c r="G715" s="1"/>
      <c r="H715" s="1"/>
    </row>
    <row r="716" spans="1:8">
      <c r="A716" s="1"/>
      <c r="B716" s="1"/>
      <c r="C716" s="1"/>
      <c r="D716" s="1"/>
      <c r="E716" s="1"/>
      <c r="F716" s="1"/>
      <c r="G716" s="1"/>
      <c r="H716" s="1"/>
    </row>
    <row r="717" spans="1:8">
      <c r="A717" s="1"/>
      <c r="B717" s="1"/>
      <c r="C717" s="1"/>
      <c r="D717" s="1"/>
      <c r="E717" s="1"/>
      <c r="F717" s="1"/>
      <c r="G717" s="1"/>
      <c r="H717" s="1"/>
    </row>
    <row r="718" spans="1:8">
      <c r="A718" s="1"/>
      <c r="B718" s="1"/>
      <c r="C718" s="1"/>
      <c r="D718" s="1"/>
      <c r="E718" s="1"/>
      <c r="F718" s="1"/>
      <c r="G718" s="1"/>
      <c r="H718" s="1"/>
    </row>
    <row r="719" spans="1:8">
      <c r="A719" s="1"/>
      <c r="B719" s="1"/>
      <c r="C719" s="1"/>
      <c r="D719" s="1"/>
      <c r="E719" s="1"/>
      <c r="F719" s="1"/>
      <c r="G719" s="1"/>
      <c r="H719" s="1"/>
    </row>
    <row r="720" spans="1:8">
      <c r="A720" s="1"/>
      <c r="B720" s="1"/>
      <c r="C720" s="1"/>
      <c r="D720" s="1"/>
      <c r="E720" s="1"/>
      <c r="F720" s="1"/>
      <c r="G720" s="1"/>
      <c r="H720" s="1"/>
    </row>
    <row r="721" spans="1:8">
      <c r="A721" s="1"/>
      <c r="B721" s="1"/>
      <c r="C721" s="1"/>
      <c r="D721" s="1"/>
      <c r="E721" s="1"/>
      <c r="F721" s="1"/>
      <c r="G721" s="1"/>
      <c r="H721" s="1"/>
    </row>
    <row r="722" spans="1:8">
      <c r="A722" s="1"/>
      <c r="B722" s="1"/>
      <c r="C722" s="1"/>
      <c r="D722" s="1"/>
      <c r="E722" s="1"/>
      <c r="F722" s="1"/>
      <c r="G722" s="1"/>
      <c r="H722" s="1"/>
    </row>
    <row r="723" spans="1:8">
      <c r="A723" s="1"/>
      <c r="B723" s="1"/>
      <c r="C723" s="1"/>
      <c r="D723" s="1"/>
      <c r="E723" s="1"/>
      <c r="F723" s="1"/>
      <c r="G723" s="1"/>
      <c r="H723" s="1"/>
    </row>
    <row r="724" spans="1:8">
      <c r="A724" s="1"/>
      <c r="B724" s="1"/>
      <c r="C724" s="1"/>
      <c r="D724" s="1"/>
      <c r="E724" s="1"/>
      <c r="F724" s="1"/>
      <c r="G724" s="1"/>
      <c r="H724" s="1"/>
    </row>
    <row r="725" spans="1:8">
      <c r="A725" s="1"/>
      <c r="B725" s="1"/>
      <c r="C725" s="1"/>
      <c r="D725" s="1"/>
      <c r="E725" s="1"/>
      <c r="F725" s="1"/>
      <c r="G725" s="1"/>
      <c r="H725" s="1"/>
    </row>
    <row r="726" spans="1:8">
      <c r="A726" s="1"/>
      <c r="B726" s="1"/>
      <c r="C726" s="1"/>
      <c r="D726" s="1"/>
      <c r="E726" s="1"/>
      <c r="F726" s="1"/>
      <c r="G726" s="1"/>
      <c r="H726" s="1"/>
    </row>
    <row r="727" spans="1:8">
      <c r="A727" s="1"/>
      <c r="B727" s="1"/>
      <c r="C727" s="1"/>
      <c r="D727" s="1"/>
      <c r="E727" s="1"/>
      <c r="F727" s="1"/>
      <c r="G727" s="1"/>
      <c r="H727" s="1"/>
    </row>
    <row r="728" spans="1:8">
      <c r="A728" s="1"/>
      <c r="B728" s="1"/>
      <c r="C728" s="1"/>
      <c r="D728" s="1"/>
      <c r="E728" s="1"/>
      <c r="F728" s="1"/>
      <c r="G728" s="1"/>
      <c r="H728" s="1"/>
    </row>
    <row r="729" spans="1:8">
      <c r="A729" s="1"/>
      <c r="B729" s="1"/>
      <c r="C729" s="1"/>
      <c r="D729" s="1"/>
      <c r="E729" s="1"/>
      <c r="F729" s="1"/>
      <c r="G729" s="1"/>
      <c r="H729" s="1"/>
    </row>
    <row r="730" spans="1:8">
      <c r="A730" s="1"/>
      <c r="B730" s="1"/>
      <c r="C730" s="1"/>
      <c r="D730" s="1"/>
      <c r="E730" s="1"/>
      <c r="F730" s="1"/>
      <c r="G730" s="1"/>
      <c r="H730" s="1"/>
    </row>
    <row r="731" spans="1:8">
      <c r="A731" s="1"/>
      <c r="B731" s="1"/>
      <c r="C731" s="1"/>
      <c r="D731" s="1"/>
      <c r="E731" s="1"/>
      <c r="F731" s="1"/>
      <c r="G731" s="1"/>
      <c r="H731" s="1"/>
    </row>
    <row r="732" spans="1:8">
      <c r="A732" s="1"/>
      <c r="B732" s="1"/>
      <c r="C732" s="1"/>
      <c r="D732" s="1"/>
      <c r="E732" s="1"/>
      <c r="F732" s="1"/>
      <c r="G732" s="1"/>
      <c r="H732" s="1"/>
    </row>
    <row r="733" spans="1:8">
      <c r="A733" s="1"/>
      <c r="B733" s="1"/>
      <c r="C733" s="1"/>
      <c r="D733" s="1"/>
      <c r="E733" s="1"/>
      <c r="F733" s="1"/>
      <c r="G733" s="1"/>
      <c r="H733" s="1"/>
    </row>
    <row r="734" spans="1:8">
      <c r="A734" s="1"/>
      <c r="B734" s="1"/>
      <c r="C734" s="1"/>
      <c r="D734" s="1"/>
      <c r="E734" s="1"/>
      <c r="F734" s="1"/>
      <c r="G734" s="1"/>
      <c r="H734" s="1"/>
    </row>
    <row r="735" spans="1:8">
      <c r="A735" s="1"/>
      <c r="B735" s="1"/>
      <c r="C735" s="1"/>
      <c r="D735" s="1"/>
      <c r="E735" s="1"/>
      <c r="F735" s="1"/>
      <c r="G735" s="1"/>
      <c r="H735" s="1"/>
    </row>
    <row r="736" spans="1:8">
      <c r="A736" s="1"/>
      <c r="B736" s="1"/>
      <c r="C736" s="1"/>
      <c r="D736" s="1"/>
      <c r="E736" s="1"/>
      <c r="F736" s="1"/>
      <c r="G736" s="1"/>
      <c r="H736" s="1"/>
    </row>
    <row r="737" spans="1:8">
      <c r="A737" s="1"/>
      <c r="B737" s="1"/>
      <c r="C737" s="1"/>
      <c r="D737" s="1"/>
      <c r="E737" s="1"/>
      <c r="F737" s="1"/>
      <c r="G737" s="1"/>
      <c r="H737" s="1"/>
    </row>
    <row r="738" spans="1:8">
      <c r="A738" s="1"/>
      <c r="B738" s="1"/>
      <c r="C738" s="1"/>
      <c r="D738" s="1"/>
      <c r="E738" s="1"/>
      <c r="F738" s="1"/>
      <c r="G738" s="1"/>
      <c r="H738" s="1"/>
    </row>
    <row r="739" spans="1:8">
      <c r="A739" s="1"/>
      <c r="B739" s="1"/>
      <c r="C739" s="1"/>
      <c r="D739" s="1"/>
      <c r="E739" s="1"/>
      <c r="F739" s="1"/>
      <c r="G739" s="1"/>
      <c r="H739" s="1"/>
    </row>
    <row r="740" spans="1:8">
      <c r="A740" s="1"/>
      <c r="B740" s="1"/>
      <c r="C740" s="1"/>
      <c r="D740" s="1"/>
      <c r="E740" s="1"/>
      <c r="F740" s="1"/>
      <c r="G740" s="1"/>
      <c r="H740" s="1"/>
    </row>
    <row r="741" spans="1:8">
      <c r="A741" s="1"/>
      <c r="B741" s="1"/>
      <c r="C741" s="1"/>
      <c r="D741" s="1"/>
      <c r="E741" s="1"/>
      <c r="F741" s="1"/>
      <c r="G741" s="1"/>
      <c r="H741" s="1"/>
    </row>
    <row r="742" spans="1:8">
      <c r="A742" s="1"/>
      <c r="B742" s="1"/>
      <c r="C742" s="1"/>
      <c r="D742" s="1"/>
      <c r="E742" s="1"/>
      <c r="F742" s="1"/>
      <c r="G742" s="1"/>
      <c r="H742" s="1"/>
    </row>
    <row r="743" spans="1:8">
      <c r="A743" s="1"/>
      <c r="B743" s="1"/>
      <c r="C743" s="1"/>
      <c r="D743" s="1"/>
      <c r="E743" s="1"/>
      <c r="F743" s="1"/>
      <c r="G743" s="1"/>
      <c r="H743" s="1"/>
    </row>
    <row r="744" spans="1:8">
      <c r="A744" s="1"/>
      <c r="B744" s="1"/>
      <c r="C744" s="1"/>
      <c r="D744" s="1"/>
      <c r="E744" s="1"/>
      <c r="F744" s="1"/>
      <c r="G744" s="1"/>
      <c r="H744" s="1"/>
    </row>
    <row r="745" spans="1:8">
      <c r="A745" s="1"/>
      <c r="B745" s="1"/>
      <c r="C745" s="1"/>
      <c r="D745" s="1"/>
      <c r="E745" s="1"/>
      <c r="F745" s="1"/>
      <c r="G745" s="1"/>
      <c r="H745" s="1"/>
    </row>
    <row r="746" spans="1:8">
      <c r="A746" s="1"/>
      <c r="B746" s="1"/>
      <c r="C746" s="1"/>
      <c r="D746" s="1"/>
      <c r="E746" s="1"/>
      <c r="F746" s="1"/>
      <c r="G746" s="1"/>
      <c r="H746" s="1"/>
    </row>
    <row r="747" spans="1:8">
      <c r="A747" s="1"/>
      <c r="B747" s="1"/>
      <c r="C747" s="1"/>
      <c r="D747" s="1"/>
      <c r="E747" s="1"/>
      <c r="F747" s="1"/>
      <c r="G747" s="1"/>
      <c r="H747" s="1"/>
    </row>
    <row r="748" spans="1:8">
      <c r="A748" s="1"/>
      <c r="B748" s="1"/>
      <c r="C748" s="1"/>
      <c r="D748" s="1"/>
      <c r="E748" s="1"/>
      <c r="F748" s="1"/>
      <c r="G748" s="1"/>
      <c r="H748" s="1"/>
    </row>
    <row r="749" spans="1:8">
      <c r="A749" s="1"/>
      <c r="B749" s="1"/>
      <c r="C749" s="1"/>
      <c r="D749" s="1"/>
      <c r="E749" s="1"/>
      <c r="F749" s="1"/>
      <c r="G749" s="1"/>
      <c r="H749" s="1"/>
    </row>
    <row r="750" spans="1:8">
      <c r="A750" s="1"/>
      <c r="B750" s="1"/>
      <c r="C750" s="1"/>
      <c r="D750" s="1"/>
      <c r="E750" s="1"/>
      <c r="F750" s="1"/>
      <c r="G750" s="1"/>
      <c r="H750" s="1"/>
    </row>
    <row r="751" spans="1:8">
      <c r="A751" s="1"/>
      <c r="B751" s="1"/>
      <c r="C751" s="1"/>
      <c r="D751" s="1"/>
      <c r="E751" s="1"/>
      <c r="F751" s="1"/>
      <c r="G751" s="1"/>
      <c r="H751" s="1"/>
    </row>
    <row r="752" spans="1:8">
      <c r="A752" s="1"/>
      <c r="B752" s="1"/>
      <c r="C752" s="1"/>
      <c r="D752" s="1"/>
      <c r="E752" s="1"/>
      <c r="F752" s="1"/>
      <c r="G752" s="1"/>
      <c r="H752" s="1"/>
    </row>
    <row r="753" spans="1:8">
      <c r="A753" s="1"/>
      <c r="B753" s="1"/>
      <c r="C753" s="1"/>
      <c r="D753" s="1"/>
      <c r="E753" s="1"/>
      <c r="F753" s="1"/>
      <c r="G753" s="1"/>
      <c r="H753" s="1"/>
    </row>
    <row r="754" spans="1:8">
      <c r="A754" s="1"/>
      <c r="B754" s="1"/>
      <c r="C754" s="1"/>
      <c r="D754" s="1"/>
      <c r="E754" s="1"/>
      <c r="F754" s="1"/>
      <c r="G754" s="1"/>
      <c r="H754" s="1"/>
    </row>
    <row r="755" spans="1:8">
      <c r="A755" s="1"/>
      <c r="B755" s="1"/>
      <c r="C755" s="1"/>
      <c r="D755" s="1"/>
      <c r="E755" s="1"/>
      <c r="F755" s="1"/>
      <c r="G755" s="1"/>
      <c r="H755" s="1"/>
    </row>
    <row r="756" spans="1:8">
      <c r="A756" s="1"/>
      <c r="B756" s="1"/>
      <c r="C756" s="1"/>
      <c r="D756" s="1"/>
      <c r="E756" s="1"/>
      <c r="F756" s="1"/>
      <c r="G756" s="1"/>
      <c r="H756" s="1"/>
    </row>
    <row r="757" spans="1:8">
      <c r="A757" s="1"/>
      <c r="B757" s="1"/>
      <c r="C757" s="1"/>
      <c r="D757" s="1"/>
      <c r="E757" s="1"/>
      <c r="F757" s="1"/>
      <c r="G757" s="1"/>
      <c r="H757" s="1"/>
    </row>
    <row r="758" spans="1:8">
      <c r="A758" s="1"/>
      <c r="B758" s="1"/>
      <c r="C758" s="1"/>
      <c r="D758" s="1"/>
      <c r="E758" s="1"/>
      <c r="F758" s="1"/>
      <c r="G758" s="1"/>
      <c r="H758" s="1"/>
    </row>
    <row r="759" spans="1:8">
      <c r="A759" s="1"/>
      <c r="B759" s="1"/>
      <c r="C759" s="1"/>
      <c r="D759" s="1"/>
      <c r="E759" s="1"/>
      <c r="F759" s="1"/>
      <c r="G759" s="1"/>
      <c r="H759" s="1"/>
    </row>
    <row r="760" spans="1:8">
      <c r="A760" s="1"/>
      <c r="B760" s="1"/>
      <c r="C760" s="1"/>
      <c r="D760" s="1"/>
      <c r="E760" s="1"/>
      <c r="F760" s="1"/>
      <c r="G760" s="1"/>
      <c r="H760" s="1"/>
    </row>
    <row r="761" spans="1:8">
      <c r="A761" s="1"/>
      <c r="B761" s="1"/>
      <c r="C761" s="1"/>
      <c r="D761" s="1"/>
      <c r="E761" s="1"/>
      <c r="F761" s="1"/>
      <c r="G761" s="1"/>
      <c r="H761" s="1"/>
    </row>
    <row r="762" spans="1:8">
      <c r="A762" s="1"/>
      <c r="B762" s="1"/>
      <c r="C762" s="1"/>
      <c r="D762" s="1"/>
      <c r="E762" s="1"/>
      <c r="F762" s="1"/>
      <c r="G762" s="1"/>
      <c r="H762" s="1"/>
    </row>
    <row r="763" spans="1:8">
      <c r="A763" s="1"/>
      <c r="B763" s="1"/>
      <c r="C763" s="1"/>
      <c r="D763" s="1"/>
      <c r="E763" s="1"/>
      <c r="F763" s="1"/>
      <c r="G763" s="1"/>
      <c r="H763" s="1"/>
    </row>
    <row r="764" spans="1:8">
      <c r="A764" s="1"/>
      <c r="B764" s="1"/>
      <c r="C764" s="1"/>
      <c r="D764" s="1"/>
      <c r="E764" s="1"/>
      <c r="F764" s="1"/>
      <c r="G764" s="1"/>
      <c r="H764" s="1"/>
    </row>
    <row r="765" spans="1:8">
      <c r="A765" s="1"/>
      <c r="B765" s="1"/>
      <c r="C765" s="1"/>
      <c r="D765" s="1"/>
      <c r="E765" s="1"/>
      <c r="F765" s="1"/>
      <c r="G765" s="1"/>
      <c r="H765" s="1"/>
    </row>
    <row r="766" spans="1:8">
      <c r="A766" s="1"/>
      <c r="B766" s="1"/>
      <c r="C766" s="1"/>
      <c r="D766" s="1"/>
      <c r="E766" s="1"/>
      <c r="F766" s="1"/>
      <c r="G766" s="1"/>
      <c r="H766" s="1"/>
    </row>
    <row r="767" spans="1:8">
      <c r="A767" s="1"/>
      <c r="B767" s="1"/>
      <c r="C767" s="1"/>
      <c r="D767" s="1"/>
      <c r="E767" s="1"/>
      <c r="F767" s="1"/>
      <c r="G767" s="1"/>
      <c r="H767" s="1"/>
    </row>
    <row r="768" spans="1:8">
      <c r="A768" s="1"/>
      <c r="B768" s="1"/>
      <c r="C768" s="1"/>
      <c r="D768" s="1"/>
      <c r="E768" s="1"/>
      <c r="F768" s="1"/>
      <c r="G768" s="1"/>
      <c r="H768" s="1"/>
    </row>
    <row r="769" spans="1:8">
      <c r="A769" s="1"/>
      <c r="B769" s="1"/>
      <c r="C769" s="1"/>
      <c r="D769" s="1"/>
      <c r="E769" s="1"/>
      <c r="F769" s="1"/>
      <c r="G769" s="1"/>
      <c r="H769" s="1"/>
    </row>
    <row r="770" spans="1:8">
      <c r="A770" s="1"/>
      <c r="B770" s="1"/>
      <c r="C770" s="1"/>
      <c r="D770" s="1"/>
      <c r="E770" s="1"/>
      <c r="F770" s="1"/>
      <c r="G770" s="1"/>
      <c r="H770" s="1"/>
    </row>
    <row r="771" spans="1:8">
      <c r="A771" s="1"/>
      <c r="B771" s="1"/>
      <c r="C771" s="1"/>
      <c r="D771" s="1"/>
      <c r="E771" s="1"/>
      <c r="F771" s="1"/>
      <c r="G771" s="1"/>
      <c r="H771" s="1"/>
    </row>
    <row r="772" spans="1:8">
      <c r="A772" s="1"/>
      <c r="B772" s="1"/>
      <c r="C772" s="1"/>
      <c r="D772" s="1"/>
      <c r="E772" s="1"/>
      <c r="F772" s="1"/>
      <c r="G772" s="1"/>
      <c r="H772" s="1"/>
    </row>
    <row r="773" spans="1:8">
      <c r="A773" s="1"/>
      <c r="B773" s="1"/>
      <c r="C773" s="1"/>
      <c r="D773" s="1"/>
      <c r="E773" s="1"/>
      <c r="F773" s="1"/>
      <c r="G773" s="1"/>
      <c r="H773" s="1"/>
    </row>
    <row r="774" spans="1:8">
      <c r="A774" s="1"/>
      <c r="B774" s="1"/>
      <c r="C774" s="1"/>
      <c r="D774" s="1"/>
      <c r="E774" s="1"/>
      <c r="F774" s="1"/>
      <c r="G774" s="1"/>
      <c r="H774" s="1"/>
    </row>
    <row r="775" spans="1:8">
      <c r="A775" s="1"/>
      <c r="B775" s="1"/>
      <c r="C775" s="1"/>
      <c r="D775" s="1"/>
      <c r="E775" s="1"/>
      <c r="F775" s="1"/>
      <c r="G775" s="1"/>
      <c r="H775" s="1"/>
    </row>
    <row r="776" spans="1:8">
      <c r="A776" s="1"/>
      <c r="B776" s="1"/>
      <c r="C776" s="1"/>
      <c r="D776" s="1"/>
      <c r="E776" s="1"/>
      <c r="F776" s="1"/>
      <c r="G776" s="1"/>
      <c r="H776" s="1"/>
    </row>
    <row r="777" spans="1:8">
      <c r="A777" s="1"/>
      <c r="B777" s="1"/>
      <c r="C777" s="1"/>
      <c r="D777" s="1"/>
      <c r="E777" s="1"/>
      <c r="F777" s="1"/>
      <c r="G777" s="1"/>
      <c r="H777" s="1"/>
    </row>
    <row r="778" spans="1:8">
      <c r="A778" s="1"/>
      <c r="B778" s="1"/>
      <c r="C778" s="1"/>
      <c r="D778" s="1"/>
      <c r="E778" s="1"/>
      <c r="F778" s="1"/>
      <c r="G778" s="1"/>
      <c r="H778" s="1"/>
    </row>
    <row r="779" spans="1:8">
      <c r="A779" s="1"/>
      <c r="B779" s="1"/>
      <c r="C779" s="1"/>
      <c r="D779" s="1"/>
      <c r="E779" s="1"/>
      <c r="F779" s="1"/>
      <c r="G779" s="1"/>
      <c r="H779" s="1"/>
    </row>
    <row r="780" spans="1:8">
      <c r="A780" s="1"/>
      <c r="B780" s="1"/>
      <c r="C780" s="1"/>
      <c r="D780" s="1"/>
      <c r="E780" s="1"/>
      <c r="F780" s="1"/>
      <c r="G780" s="1"/>
      <c r="H780" s="1"/>
    </row>
    <row r="781" spans="1:8">
      <c r="A781" s="1"/>
      <c r="B781" s="1"/>
      <c r="C781" s="1"/>
      <c r="D781" s="1"/>
      <c r="E781" s="1"/>
      <c r="F781" s="1"/>
      <c r="G781" s="1"/>
      <c r="H781" s="1"/>
    </row>
    <row r="782" spans="1:8">
      <c r="A782" s="1"/>
      <c r="B782" s="1"/>
      <c r="C782" s="1"/>
      <c r="D782" s="1"/>
      <c r="E782" s="1"/>
      <c r="F782" s="1"/>
      <c r="G782" s="1"/>
      <c r="H782" s="1"/>
    </row>
    <row r="783" spans="1:8">
      <c r="A783" s="1"/>
      <c r="B783" s="1"/>
      <c r="C783" s="1"/>
      <c r="D783" s="1"/>
      <c r="E783" s="1"/>
      <c r="F783" s="1"/>
      <c r="G783" s="1"/>
      <c r="H783" s="1"/>
    </row>
    <row r="784" spans="1:8">
      <c r="A784" s="1"/>
      <c r="B784" s="1"/>
      <c r="C784" s="1"/>
      <c r="D784" s="1"/>
      <c r="E784" s="1"/>
      <c r="F784" s="1"/>
      <c r="G784" s="1"/>
      <c r="H784" s="1"/>
    </row>
    <row r="785" spans="1:8">
      <c r="A785" s="1"/>
      <c r="B785" s="1"/>
      <c r="C785" s="1"/>
      <c r="D785" s="1"/>
      <c r="E785" s="1"/>
      <c r="F785" s="1"/>
      <c r="G785" s="1"/>
      <c r="H785" s="1"/>
    </row>
    <row r="786" spans="1:8">
      <c r="A786" s="1"/>
    </row>
    <row r="787" spans="1:8">
      <c r="A787" s="1"/>
    </row>
  </sheetData>
  <mergeCells count="11">
    <mergeCell ref="F365:H365"/>
    <mergeCell ref="F363:H363"/>
    <mergeCell ref="F364:H364"/>
    <mergeCell ref="A1:H7"/>
    <mergeCell ref="A10:H10"/>
    <mergeCell ref="A8:H8"/>
    <mergeCell ref="E14:H14"/>
    <mergeCell ref="B11:H11"/>
    <mergeCell ref="A12:H12"/>
    <mergeCell ref="A13:H13"/>
    <mergeCell ref="A14:D14"/>
  </mergeCells>
  <pageMargins left="0.51181102362204722" right="0.51181102362204722" top="0.78740157480314965" bottom="0.78740157480314965" header="0.31496062992125984" footer="0.31496062992125984"/>
  <pageSetup paperSize="9" scale="80" fitToHeight="0" orientation="landscape" r:id="rId1"/>
  <headerFooter>
    <oddFooter>&amp;C&amp;"Arial,Normal"&amp;8Prefeitura da Estância Turística de Paraguaçu Paulista - SP - Av. Siqueira Campos 1430 - CEP 19703-061 - www. eparaguacu.sp.gov.br - Tel. (18) 3361 9100</oddFooter>
  </headerFooter>
  <rowBreaks count="11" manualBreakCount="11">
    <brk id="31" max="7" man="1"/>
    <brk id="46" max="7" man="1"/>
    <brk id="64" max="7" man="1"/>
    <brk id="78" max="7" man="1"/>
    <brk id="99" max="7" man="1"/>
    <brk id="119" max="7" man="1"/>
    <brk id="137" max="7" man="1"/>
    <brk id="156" max="7" man="1"/>
    <brk id="174" max="7" man="1"/>
    <brk id="194" max="7" man="1"/>
    <brk id="342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16"/>
  <sheetViews>
    <sheetView view="pageBreakPreview" topLeftCell="A307" zoomScale="85" zoomScaleNormal="120" zoomScaleSheetLayoutView="85" workbookViewId="0">
      <selection activeCell="G49" sqref="G49:H49"/>
    </sheetView>
  </sheetViews>
  <sheetFormatPr defaultRowHeight="15"/>
  <cols>
    <col min="1" max="1" width="7.5703125" customWidth="1"/>
    <col min="2" max="2" width="14.140625" customWidth="1"/>
    <col min="3" max="3" width="13.28515625" customWidth="1"/>
    <col min="4" max="4" width="79.28515625" customWidth="1"/>
    <col min="6" max="6" width="11" customWidth="1"/>
    <col min="7" max="7" width="16.140625" customWidth="1"/>
    <col min="8" max="8" width="21" bestFit="1" customWidth="1"/>
    <col min="9" max="9" width="20.28515625" customWidth="1"/>
    <col min="10" max="10" width="14.42578125" bestFit="1" customWidth="1"/>
    <col min="12" max="12" width="17.85546875" customWidth="1"/>
    <col min="13" max="13" width="16" bestFit="1" customWidth="1"/>
  </cols>
  <sheetData>
    <row r="1" spans="1:8" ht="15" customHeight="1">
      <c r="A1" s="284" t="s">
        <v>12</v>
      </c>
      <c r="B1" s="285"/>
      <c r="C1" s="285"/>
      <c r="D1" s="285"/>
      <c r="E1" s="285"/>
      <c r="F1" s="285"/>
      <c r="G1" s="285"/>
      <c r="H1" s="286"/>
    </row>
    <row r="2" spans="1:8" ht="15" customHeight="1">
      <c r="A2" s="287"/>
      <c r="B2" s="288"/>
      <c r="C2" s="288"/>
      <c r="D2" s="288"/>
      <c r="E2" s="288"/>
      <c r="F2" s="288"/>
      <c r="G2" s="288"/>
      <c r="H2" s="289"/>
    </row>
    <row r="3" spans="1:8" ht="15" customHeight="1">
      <c r="A3" s="287"/>
      <c r="B3" s="288"/>
      <c r="C3" s="288"/>
      <c r="D3" s="288"/>
      <c r="E3" s="288"/>
      <c r="F3" s="288"/>
      <c r="G3" s="288"/>
      <c r="H3" s="289"/>
    </row>
    <row r="4" spans="1:8" ht="15" customHeight="1">
      <c r="A4" s="287"/>
      <c r="B4" s="288"/>
      <c r="C4" s="288"/>
      <c r="D4" s="288"/>
      <c r="E4" s="288"/>
      <c r="F4" s="288"/>
      <c r="G4" s="288"/>
      <c r="H4" s="289"/>
    </row>
    <row r="5" spans="1:8" ht="15" customHeight="1">
      <c r="A5" s="287"/>
      <c r="B5" s="288"/>
      <c r="C5" s="288"/>
      <c r="D5" s="288"/>
      <c r="E5" s="288"/>
      <c r="F5" s="288"/>
      <c r="G5" s="288"/>
      <c r="H5" s="289"/>
    </row>
    <row r="6" spans="1:8" ht="15" customHeight="1">
      <c r="A6" s="287"/>
      <c r="B6" s="288"/>
      <c r="C6" s="288"/>
      <c r="D6" s="288"/>
      <c r="E6" s="288"/>
      <c r="F6" s="288"/>
      <c r="G6" s="288"/>
      <c r="H6" s="289"/>
    </row>
    <row r="7" spans="1:8" ht="15" customHeight="1">
      <c r="A7" s="287"/>
      <c r="B7" s="288"/>
      <c r="C7" s="288"/>
      <c r="D7" s="288"/>
      <c r="E7" s="288"/>
      <c r="F7" s="288"/>
      <c r="G7" s="288"/>
      <c r="H7" s="289"/>
    </row>
    <row r="8" spans="1:8" ht="15" customHeight="1">
      <c r="A8" s="293" t="s">
        <v>11</v>
      </c>
      <c r="B8" s="294"/>
      <c r="C8" s="294"/>
      <c r="D8" s="294"/>
      <c r="E8" s="294"/>
      <c r="F8" s="294"/>
      <c r="G8" s="294"/>
      <c r="H8" s="295"/>
    </row>
    <row r="9" spans="1:8" ht="6.75" customHeight="1">
      <c r="A9" s="50"/>
      <c r="B9" s="51"/>
      <c r="C9" s="51"/>
      <c r="D9" s="51"/>
      <c r="E9" s="51"/>
      <c r="F9" s="51"/>
      <c r="G9" s="51"/>
      <c r="H9" s="52"/>
    </row>
    <row r="10" spans="1:8" ht="15" customHeight="1">
      <c r="A10" s="290" t="s">
        <v>75</v>
      </c>
      <c r="B10" s="291"/>
      <c r="C10" s="291"/>
      <c r="D10" s="291"/>
      <c r="E10" s="291"/>
      <c r="F10" s="291"/>
      <c r="G10" s="291"/>
      <c r="H10" s="292"/>
    </row>
    <row r="11" spans="1:8" ht="15" customHeight="1">
      <c r="A11" s="4"/>
      <c r="B11" s="298"/>
      <c r="C11" s="298"/>
      <c r="D11" s="298"/>
      <c r="E11" s="298"/>
      <c r="F11" s="298"/>
      <c r="G11" s="298"/>
      <c r="H11" s="299"/>
    </row>
    <row r="12" spans="1:8" ht="15" customHeight="1">
      <c r="A12" s="300" t="s">
        <v>126</v>
      </c>
      <c r="B12" s="301"/>
      <c r="C12" s="301"/>
      <c r="D12" s="301"/>
      <c r="E12" s="301"/>
      <c r="F12" s="301"/>
      <c r="G12" s="301"/>
      <c r="H12" s="302"/>
    </row>
    <row r="13" spans="1:8" ht="15" customHeight="1">
      <c r="A13" s="300" t="s">
        <v>127</v>
      </c>
      <c r="B13" s="301"/>
      <c r="C13" s="301"/>
      <c r="D13" s="301"/>
      <c r="E13" s="301"/>
      <c r="F13" s="301"/>
      <c r="G13" s="301"/>
      <c r="H13" s="302"/>
    </row>
    <row r="14" spans="1:8" ht="15" customHeight="1">
      <c r="A14" s="303" t="s">
        <v>817</v>
      </c>
      <c r="B14" s="304"/>
      <c r="C14" s="304"/>
      <c r="D14" s="304"/>
      <c r="E14" s="296" t="s">
        <v>829</v>
      </c>
      <c r="F14" s="296"/>
      <c r="G14" s="296"/>
      <c r="H14" s="297"/>
    </row>
    <row r="15" spans="1:8" ht="25.5">
      <c r="A15" s="5" t="s">
        <v>0</v>
      </c>
      <c r="B15" s="6" t="s">
        <v>1</v>
      </c>
      <c r="C15" s="6" t="s">
        <v>2</v>
      </c>
      <c r="D15" s="5" t="s">
        <v>3</v>
      </c>
      <c r="E15" s="5" t="s">
        <v>4</v>
      </c>
      <c r="F15" s="5" t="s">
        <v>5</v>
      </c>
      <c r="G15" s="337" t="s">
        <v>75</v>
      </c>
      <c r="H15" s="338"/>
    </row>
    <row r="16" spans="1:8" ht="9" customHeight="1">
      <c r="A16" s="2"/>
      <c r="B16" s="2"/>
      <c r="C16" s="2"/>
      <c r="D16" s="2"/>
      <c r="E16" s="2"/>
      <c r="F16" s="2"/>
      <c r="G16" s="335"/>
      <c r="H16" s="336"/>
    </row>
    <row r="17" spans="1:9">
      <c r="A17" s="22" t="s">
        <v>31</v>
      </c>
      <c r="B17" s="3"/>
      <c r="C17" s="3"/>
      <c r="D17" s="7" t="s">
        <v>22</v>
      </c>
      <c r="E17" s="3"/>
      <c r="F17" s="3"/>
      <c r="G17" s="324"/>
      <c r="H17" s="325"/>
      <c r="I17" s="9"/>
    </row>
    <row r="18" spans="1:9">
      <c r="A18" s="22">
        <v>1</v>
      </c>
      <c r="B18" s="3"/>
      <c r="C18" s="3"/>
      <c r="D18" s="7" t="s">
        <v>32</v>
      </c>
      <c r="E18" s="3"/>
      <c r="F18" s="3"/>
      <c r="G18" s="324"/>
      <c r="H18" s="325"/>
      <c r="I18" s="9"/>
    </row>
    <row r="19" spans="1:9" ht="36.75" customHeight="1">
      <c r="A19" s="11" t="s">
        <v>43</v>
      </c>
      <c r="B19" s="11" t="s">
        <v>820</v>
      </c>
      <c r="C19" s="14" t="s">
        <v>136</v>
      </c>
      <c r="D19" s="16" t="s">
        <v>137</v>
      </c>
      <c r="E19" s="11" t="s">
        <v>9</v>
      </c>
      <c r="F19" s="147">
        <f>4*1.5</f>
        <v>6</v>
      </c>
      <c r="G19" s="322" t="s">
        <v>138</v>
      </c>
      <c r="H19" s="323"/>
      <c r="I19" s="9"/>
    </row>
    <row r="20" spans="1:9" ht="123" customHeight="1">
      <c r="A20" s="11" t="s">
        <v>44</v>
      </c>
      <c r="B20" s="11" t="s">
        <v>820</v>
      </c>
      <c r="C20" s="11" t="s">
        <v>34</v>
      </c>
      <c r="D20" s="15" t="s">
        <v>33</v>
      </c>
      <c r="E20" s="11" t="s">
        <v>9</v>
      </c>
      <c r="F20" s="10">
        <f>((318.4+18.28)+(28.78+4.32+29.95+2.26+2.17+3.93+5.03+4.14+3.9+5.28+7.8+2.04+5.03+7.87)+85.86)+((4.47*5*2)+(3.07*5))+((2.88*8.54)+(4.54*1.5))+((2.1*18.46))+(2.56*(8.89+5.26+1))+(2.18*2.1)+(1.62*8.82)+(1.76*8.8)</f>
        <v>738.39959999999996</v>
      </c>
      <c r="G20" s="333" t="s">
        <v>418</v>
      </c>
      <c r="H20" s="334"/>
      <c r="I20" s="9"/>
    </row>
    <row r="21" spans="1:9" ht="43.5">
      <c r="A21" s="11" t="s">
        <v>45</v>
      </c>
      <c r="B21" s="11" t="s">
        <v>820</v>
      </c>
      <c r="C21" s="11" t="s">
        <v>35</v>
      </c>
      <c r="D21" s="15" t="s">
        <v>268</v>
      </c>
      <c r="E21" s="11" t="s">
        <v>10</v>
      </c>
      <c r="F21" s="10">
        <f>F20*0.01+(549.28*0.1)</f>
        <v>62.311995999999994</v>
      </c>
      <c r="G21" s="322" t="s">
        <v>419</v>
      </c>
      <c r="H21" s="323"/>
      <c r="I21" s="9"/>
    </row>
    <row r="22" spans="1:9" ht="35.25" customHeight="1">
      <c r="A22" s="11" t="s">
        <v>135</v>
      </c>
      <c r="B22" s="11" t="s">
        <v>820</v>
      </c>
      <c r="C22" s="11" t="s">
        <v>14</v>
      </c>
      <c r="D22" s="15" t="s">
        <v>13</v>
      </c>
      <c r="E22" s="11" t="s">
        <v>15</v>
      </c>
      <c r="F22" s="10">
        <v>1</v>
      </c>
      <c r="G22" s="322" t="s">
        <v>76</v>
      </c>
      <c r="H22" s="323"/>
      <c r="I22" s="9"/>
    </row>
    <row r="23" spans="1:9">
      <c r="A23" s="11"/>
      <c r="B23" s="14"/>
      <c r="C23" s="11"/>
      <c r="D23" s="46"/>
      <c r="E23" s="11"/>
      <c r="F23" s="10"/>
      <c r="G23" s="322"/>
      <c r="H23" s="323"/>
      <c r="I23" s="9"/>
    </row>
    <row r="24" spans="1:9">
      <c r="A24" s="22">
        <v>2</v>
      </c>
      <c r="B24" s="3"/>
      <c r="C24" s="3"/>
      <c r="D24" s="7" t="s">
        <v>139</v>
      </c>
      <c r="E24" s="3"/>
      <c r="F24" s="3"/>
      <c r="G24" s="324"/>
      <c r="H24" s="325"/>
      <c r="I24" s="9"/>
    </row>
    <row r="25" spans="1:9" ht="119.25" customHeight="1">
      <c r="A25" s="11" t="s">
        <v>63</v>
      </c>
      <c r="B25" s="11" t="s">
        <v>820</v>
      </c>
      <c r="C25" s="11" t="s">
        <v>39</v>
      </c>
      <c r="D25" s="15" t="s">
        <v>38</v>
      </c>
      <c r="E25" s="11" t="s">
        <v>9</v>
      </c>
      <c r="F25" s="10">
        <f>F20</f>
        <v>738.39959999999996</v>
      </c>
      <c r="G25" s="333" t="s">
        <v>418</v>
      </c>
      <c r="H25" s="334"/>
      <c r="I25" s="9"/>
    </row>
    <row r="26" spans="1:9" ht="129" customHeight="1">
      <c r="A26" s="11" t="s">
        <v>64</v>
      </c>
      <c r="B26" s="11" t="s">
        <v>820</v>
      </c>
      <c r="C26" s="11" t="s">
        <v>37</v>
      </c>
      <c r="D26" s="15" t="s">
        <v>36</v>
      </c>
      <c r="E26" s="11" t="s">
        <v>9</v>
      </c>
      <c r="F26" s="10">
        <f>F20</f>
        <v>738.39959999999996</v>
      </c>
      <c r="G26" s="333" t="s">
        <v>418</v>
      </c>
      <c r="H26" s="334"/>
      <c r="I26" s="9"/>
    </row>
    <row r="27" spans="1:9" ht="20.25" customHeight="1">
      <c r="A27" s="11" t="s">
        <v>146</v>
      </c>
      <c r="B27" s="11" t="s">
        <v>820</v>
      </c>
      <c r="C27" s="11" t="s">
        <v>149</v>
      </c>
      <c r="D27" s="15" t="s">
        <v>148</v>
      </c>
      <c r="E27" s="11" t="s">
        <v>150</v>
      </c>
      <c r="F27" s="10">
        <v>20.18</v>
      </c>
      <c r="G27" s="322" t="s">
        <v>151</v>
      </c>
      <c r="H27" s="323"/>
      <c r="I27" s="9"/>
    </row>
    <row r="28" spans="1:9" ht="36.75" customHeight="1">
      <c r="A28" s="11" t="s">
        <v>147</v>
      </c>
      <c r="B28" s="11" t="s">
        <v>820</v>
      </c>
      <c r="C28" s="11" t="s">
        <v>145</v>
      </c>
      <c r="D28" s="15" t="s">
        <v>144</v>
      </c>
      <c r="E28" s="11" t="s">
        <v>150</v>
      </c>
      <c r="F28" s="10">
        <v>20.18</v>
      </c>
      <c r="G28" s="322" t="s">
        <v>151</v>
      </c>
      <c r="H28" s="323"/>
      <c r="I28" s="9"/>
    </row>
    <row r="29" spans="1:9" ht="36.75" customHeight="1">
      <c r="A29" s="11" t="s">
        <v>311</v>
      </c>
      <c r="B29" s="11" t="s">
        <v>820</v>
      </c>
      <c r="C29" s="14" t="s">
        <v>402</v>
      </c>
      <c r="D29" s="209" t="s">
        <v>403</v>
      </c>
      <c r="E29" s="14" t="s">
        <v>15</v>
      </c>
      <c r="F29" s="147">
        <v>4</v>
      </c>
      <c r="G29" s="322" t="s">
        <v>404</v>
      </c>
      <c r="H29" s="323"/>
      <c r="I29" s="9"/>
    </row>
    <row r="30" spans="1:9" ht="36.75" customHeight="1">
      <c r="A30" s="11" t="s">
        <v>312</v>
      </c>
      <c r="B30" s="11" t="s">
        <v>820</v>
      </c>
      <c r="C30" s="14" t="s">
        <v>410</v>
      </c>
      <c r="D30" s="209" t="s">
        <v>409</v>
      </c>
      <c r="E30" s="14" t="s">
        <v>156</v>
      </c>
      <c r="F30" s="147">
        <v>4</v>
      </c>
      <c r="G30" s="322" t="s">
        <v>411</v>
      </c>
      <c r="H30" s="323"/>
      <c r="I30" s="9"/>
    </row>
    <row r="31" spans="1:9">
      <c r="A31" s="11"/>
      <c r="B31" s="14"/>
      <c r="C31" s="11"/>
      <c r="D31" s="46"/>
      <c r="E31" s="11"/>
      <c r="F31" s="10"/>
      <c r="G31" s="320"/>
      <c r="H31" s="321"/>
      <c r="I31" s="9"/>
    </row>
    <row r="32" spans="1:9">
      <c r="A32" s="22">
        <v>3</v>
      </c>
      <c r="B32" s="3"/>
      <c r="C32" s="3"/>
      <c r="D32" s="7" t="s">
        <v>55</v>
      </c>
      <c r="E32" s="3"/>
      <c r="F32" s="3"/>
      <c r="G32" s="324"/>
      <c r="H32" s="325"/>
      <c r="I32" s="9"/>
    </row>
    <row r="33" spans="1:12" ht="49.5" customHeight="1">
      <c r="A33" s="11" t="s">
        <v>65</v>
      </c>
      <c r="B33" s="11" t="s">
        <v>820</v>
      </c>
      <c r="C33" s="11" t="s">
        <v>16</v>
      </c>
      <c r="D33" s="15" t="s">
        <v>56</v>
      </c>
      <c r="E33" s="11" t="s">
        <v>9</v>
      </c>
      <c r="F33" s="10">
        <f>F35+F34</f>
        <v>549.27700000000004</v>
      </c>
      <c r="G33" s="322" t="s">
        <v>318</v>
      </c>
      <c r="H33" s="323"/>
      <c r="I33" s="9"/>
    </row>
    <row r="34" spans="1:12" ht="39" customHeight="1">
      <c r="A34" s="11" t="s">
        <v>66</v>
      </c>
      <c r="B34" s="11" t="s">
        <v>820</v>
      </c>
      <c r="C34" s="11" t="s">
        <v>18</v>
      </c>
      <c r="D34" s="15" t="s">
        <v>17</v>
      </c>
      <c r="E34" s="11" t="s">
        <v>9</v>
      </c>
      <c r="F34" s="10">
        <f>(26.3*1.9)+(20.84*1.9)+(30.99*2.9)</f>
        <v>179.43700000000001</v>
      </c>
      <c r="G34" s="322" t="s">
        <v>302</v>
      </c>
      <c r="H34" s="323"/>
      <c r="I34" s="9"/>
    </row>
    <row r="35" spans="1:12" ht="29.25">
      <c r="A35" s="11" t="s">
        <v>67</v>
      </c>
      <c r="B35" s="11" t="s">
        <v>820</v>
      </c>
      <c r="C35" s="11" t="s">
        <v>19</v>
      </c>
      <c r="D35" s="15" t="s">
        <v>62</v>
      </c>
      <c r="E35" s="11" t="s">
        <v>9</v>
      </c>
      <c r="F35" s="10">
        <f>396.75-26.91</f>
        <v>369.84</v>
      </c>
      <c r="G35" s="322" t="s">
        <v>239</v>
      </c>
      <c r="H35" s="323"/>
      <c r="I35" s="9"/>
      <c r="L35" s="23"/>
    </row>
    <row r="36" spans="1:12" ht="29.25">
      <c r="A36" s="11" t="s">
        <v>68</v>
      </c>
      <c r="B36" s="11" t="s">
        <v>820</v>
      </c>
      <c r="C36" s="11" t="s">
        <v>21</v>
      </c>
      <c r="D36" s="15" t="s">
        <v>20</v>
      </c>
      <c r="E36" s="11" t="s">
        <v>9</v>
      </c>
      <c r="F36" s="10">
        <f>396.75-26.91</f>
        <v>369.84</v>
      </c>
      <c r="G36" s="322" t="s">
        <v>240</v>
      </c>
      <c r="H36" s="323"/>
      <c r="I36" s="9"/>
    </row>
    <row r="37" spans="1:12" ht="35.25" customHeight="1">
      <c r="A37" s="11" t="s">
        <v>69</v>
      </c>
      <c r="B37" s="11" t="s">
        <v>820</v>
      </c>
      <c r="C37" s="11" t="s">
        <v>24</v>
      </c>
      <c r="D37" s="15" t="s">
        <v>23</v>
      </c>
      <c r="E37" s="11" t="s">
        <v>9</v>
      </c>
      <c r="F37" s="10">
        <f>2.4*2.1</f>
        <v>5.04</v>
      </c>
      <c r="G37" s="322" t="s">
        <v>77</v>
      </c>
      <c r="H37" s="323"/>
      <c r="I37" s="9"/>
      <c r="L37" s="23"/>
    </row>
    <row r="38" spans="1:12">
      <c r="A38" s="11"/>
      <c r="B38" s="14"/>
      <c r="C38" s="11"/>
      <c r="D38" s="46"/>
      <c r="E38" s="11"/>
      <c r="F38" s="10"/>
      <c r="G38" s="322"/>
      <c r="H38" s="323"/>
      <c r="I38" s="9"/>
      <c r="L38" s="23"/>
    </row>
    <row r="39" spans="1:12">
      <c r="A39" s="22">
        <v>4</v>
      </c>
      <c r="B39" s="3"/>
      <c r="C39" s="3"/>
      <c r="D39" s="7" t="s">
        <v>57</v>
      </c>
      <c r="E39" s="3"/>
      <c r="F39" s="3"/>
      <c r="G39" s="324"/>
      <c r="H39" s="325"/>
      <c r="I39" s="9"/>
      <c r="L39" s="23"/>
    </row>
    <row r="40" spans="1:12" ht="68.25" customHeight="1">
      <c r="A40" s="11" t="s">
        <v>50</v>
      </c>
      <c r="B40" s="11" t="s">
        <v>820</v>
      </c>
      <c r="C40" s="20" t="s">
        <v>198</v>
      </c>
      <c r="D40" s="149" t="s">
        <v>269</v>
      </c>
      <c r="E40" s="159" t="s">
        <v>9</v>
      </c>
      <c r="F40" s="159">
        <f>F43</f>
        <v>163.21000000000004</v>
      </c>
      <c r="G40" s="322" t="s">
        <v>263</v>
      </c>
      <c r="H40" s="323"/>
      <c r="I40" s="9"/>
      <c r="L40" s="23"/>
    </row>
    <row r="41" spans="1:12" ht="67.5" customHeight="1">
      <c r="A41" s="11" t="s">
        <v>52</v>
      </c>
      <c r="B41" s="11" t="s">
        <v>820</v>
      </c>
      <c r="C41" s="11" t="s">
        <v>51</v>
      </c>
      <c r="D41" s="15" t="s">
        <v>152</v>
      </c>
      <c r="E41" s="11" t="s">
        <v>9</v>
      </c>
      <c r="F41" s="10">
        <f>(0.0628*(15+20.4+3.56+1+2.88+3.65+2.92))+(0.1*((6.6*2)+(2.56*2)+(3.4*2)+(3.74*2)+(2.26*2)))+F37</f>
        <v>11.854948</v>
      </c>
      <c r="G41" s="322" t="s">
        <v>241</v>
      </c>
      <c r="H41" s="323"/>
      <c r="I41" s="9"/>
      <c r="L41" s="23"/>
    </row>
    <row r="42" spans="1:12" ht="75.75" customHeight="1">
      <c r="A42" s="11" t="s">
        <v>70</v>
      </c>
      <c r="B42" s="11" t="s">
        <v>820</v>
      </c>
      <c r="C42" s="11" t="s">
        <v>53</v>
      </c>
      <c r="D42" s="15" t="s">
        <v>54</v>
      </c>
      <c r="E42" s="11" t="s">
        <v>9</v>
      </c>
      <c r="F42" s="10">
        <f>F41</f>
        <v>11.854948</v>
      </c>
      <c r="G42" s="322" t="s">
        <v>242</v>
      </c>
      <c r="H42" s="323"/>
      <c r="I42" s="9"/>
      <c r="L42" s="23"/>
    </row>
    <row r="43" spans="1:12" ht="71.25" customHeight="1">
      <c r="A43" s="11" t="s">
        <v>226</v>
      </c>
      <c r="B43" s="11" t="s">
        <v>820</v>
      </c>
      <c r="C43" s="11" t="s">
        <v>41</v>
      </c>
      <c r="D43" s="15" t="s">
        <v>40</v>
      </c>
      <c r="E43" s="11" t="s">
        <v>9</v>
      </c>
      <c r="F43" s="10">
        <f>51.89+5.37+7.44+4.36+5.28+2.04+17.06+6.08+5.4+6.68+7.82+4.42+15.25+3.9+18.92+0.94+0.36</f>
        <v>163.21000000000004</v>
      </c>
      <c r="G43" s="322" t="s">
        <v>263</v>
      </c>
      <c r="H43" s="323"/>
      <c r="I43" s="9"/>
      <c r="L43" s="23"/>
    </row>
    <row r="44" spans="1:12">
      <c r="A44" s="11"/>
      <c r="B44" s="14"/>
      <c r="C44" s="11"/>
      <c r="D44" s="46"/>
      <c r="E44" s="11"/>
      <c r="F44" s="10"/>
      <c r="G44" s="322"/>
      <c r="H44" s="323"/>
      <c r="I44" s="9"/>
      <c r="L44" s="23"/>
    </row>
    <row r="45" spans="1:12">
      <c r="A45" s="22" t="s">
        <v>46</v>
      </c>
      <c r="B45" s="3"/>
      <c r="C45" s="26"/>
      <c r="D45" s="27" t="s">
        <v>25</v>
      </c>
      <c r="E45" s="3"/>
      <c r="F45" s="3"/>
      <c r="G45" s="324"/>
      <c r="H45" s="325"/>
      <c r="I45" s="9"/>
    </row>
    <row r="46" spans="1:12">
      <c r="A46" s="22">
        <v>1</v>
      </c>
      <c r="B46" s="3"/>
      <c r="C46" s="26"/>
      <c r="D46" s="27" t="s">
        <v>71</v>
      </c>
      <c r="E46" s="36"/>
      <c r="F46" s="3"/>
      <c r="G46" s="324"/>
      <c r="H46" s="325"/>
      <c r="I46" s="9"/>
    </row>
    <row r="47" spans="1:12" ht="125.25" customHeight="1">
      <c r="A47" s="11" t="s">
        <v>43</v>
      </c>
      <c r="B47" s="11" t="s">
        <v>820</v>
      </c>
      <c r="C47" s="30" t="s">
        <v>143</v>
      </c>
      <c r="D47" s="31" t="s">
        <v>142</v>
      </c>
      <c r="E47" s="25" t="s">
        <v>9</v>
      </c>
      <c r="F47" s="10">
        <f>(8.9+35.08+47.42+81+53.27+76.42+45.07+20.1+26.36+39.09+61+50.82+40.1+43.4+10.8+38.66+54.24+23.55+39.1+40.71+11.43+16.68+30.55+37.6+16.7+20.99+39.96+27.16+50.02+85.14+51.95+6.17+31.25+49.2+26.72)*8</f>
        <v>10692.880000000003</v>
      </c>
      <c r="G47" s="322" t="s">
        <v>417</v>
      </c>
      <c r="H47" s="323"/>
      <c r="I47" s="9"/>
    </row>
    <row r="48" spans="1:12" ht="120.75" customHeight="1">
      <c r="A48" s="11" t="s">
        <v>44</v>
      </c>
      <c r="B48" s="11" t="s">
        <v>820</v>
      </c>
      <c r="C48" s="30" t="s">
        <v>30</v>
      </c>
      <c r="D48" s="31" t="s">
        <v>29</v>
      </c>
      <c r="E48" s="25" t="s">
        <v>9</v>
      </c>
      <c r="F48" s="10">
        <f>F47</f>
        <v>10692.880000000003</v>
      </c>
      <c r="G48" s="322" t="s">
        <v>417</v>
      </c>
      <c r="H48" s="323"/>
      <c r="I48" s="9"/>
    </row>
    <row r="49" spans="1:9" ht="33.75" customHeight="1">
      <c r="A49" s="11" t="s">
        <v>45</v>
      </c>
      <c r="B49" s="11" t="s">
        <v>820</v>
      </c>
      <c r="C49" s="28" t="s">
        <v>27</v>
      </c>
      <c r="D49" s="29" t="s">
        <v>28</v>
      </c>
      <c r="E49" s="11" t="s">
        <v>10</v>
      </c>
      <c r="F49" s="10">
        <f>F48*0.03</f>
        <v>320.78640000000007</v>
      </c>
      <c r="G49" s="322" t="s">
        <v>901</v>
      </c>
      <c r="H49" s="323"/>
      <c r="I49" s="9"/>
    </row>
    <row r="50" spans="1:9" ht="197.25" customHeight="1">
      <c r="A50" s="11" t="s">
        <v>135</v>
      </c>
      <c r="B50" s="11" t="s">
        <v>820</v>
      </c>
      <c r="C50" s="20" t="s">
        <v>26</v>
      </c>
      <c r="D50" s="21" t="s">
        <v>74</v>
      </c>
      <c r="E50" s="11" t="s">
        <v>9</v>
      </c>
      <c r="F50" s="10">
        <f>(40.5+38.2+60.4+44.4+34.9+23+46.6+30+23.6+32.2+48.4+57.4+30.1+40.8+28.1+50.1+33.4+48.7+21.4+18.7)*0.6+(26.24+65.73+30.67+55.57+42.38+27.97)*0.6+((35.08+47.42+81+53.27+76.42+43.16+20.84+26.2+40.5+62.43+50.26+40.2+43.4+10.8+38.4+54.3+25.5+39.3+40.71+11.43+16.68+30.55+37.6+16.8+20.99+8.9+37.7+28.54+50.22+85.14+51.95+7.3+30.3+47.3+26.02)*0.2*2)</f>
        <v>1134.3200000000002</v>
      </c>
      <c r="G50" s="326" t="s">
        <v>352</v>
      </c>
      <c r="H50" s="327"/>
      <c r="I50" s="9"/>
    </row>
    <row r="51" spans="1:9" ht="43.5">
      <c r="A51" s="11" t="s">
        <v>174</v>
      </c>
      <c r="B51" s="11" t="s">
        <v>820</v>
      </c>
      <c r="C51" s="20" t="s">
        <v>275</v>
      </c>
      <c r="D51" s="180" t="s">
        <v>335</v>
      </c>
      <c r="E51" s="11" t="s">
        <v>9</v>
      </c>
      <c r="F51" s="10">
        <f>50*0.6+(248.56*0.6)</f>
        <v>179.136</v>
      </c>
      <c r="G51" s="322" t="s">
        <v>353</v>
      </c>
      <c r="H51" s="323"/>
      <c r="I51" s="9"/>
    </row>
    <row r="52" spans="1:9" ht="62.25" customHeight="1">
      <c r="A52" s="11" t="s">
        <v>175</v>
      </c>
      <c r="B52" s="11" t="s">
        <v>820</v>
      </c>
      <c r="C52" s="20" t="s">
        <v>276</v>
      </c>
      <c r="D52" s="180" t="s">
        <v>339</v>
      </c>
      <c r="E52" s="11" t="s">
        <v>10</v>
      </c>
      <c r="F52" s="10">
        <f>((50*0.6)*0.12)+((26.24+65.73+30.67+55.57+42.38+27.97)*0.6*0.1)</f>
        <v>18.5136</v>
      </c>
      <c r="G52" s="326" t="s">
        <v>354</v>
      </c>
      <c r="H52" s="327"/>
      <c r="I52" s="9"/>
    </row>
    <row r="53" spans="1:9" ht="43.5" customHeight="1">
      <c r="A53" s="11" t="s">
        <v>176</v>
      </c>
      <c r="B53" s="11" t="s">
        <v>820</v>
      </c>
      <c r="C53" s="169" t="s">
        <v>19</v>
      </c>
      <c r="D53" s="181" t="s">
        <v>340</v>
      </c>
      <c r="E53" s="14" t="s">
        <v>9</v>
      </c>
      <c r="F53" s="182">
        <f>F51</f>
        <v>179.136</v>
      </c>
      <c r="G53" s="322" t="s">
        <v>356</v>
      </c>
      <c r="H53" s="323"/>
      <c r="I53" s="9"/>
    </row>
    <row r="54" spans="1:9" ht="48" customHeight="1">
      <c r="A54" s="11" t="s">
        <v>177</v>
      </c>
      <c r="B54" s="11" t="s">
        <v>820</v>
      </c>
      <c r="C54" s="20" t="s">
        <v>305</v>
      </c>
      <c r="D54" s="180" t="s">
        <v>336</v>
      </c>
      <c r="E54" s="11" t="s">
        <v>10</v>
      </c>
      <c r="F54" s="10">
        <f>(248.56*0.6*0.08)</f>
        <v>11.93088</v>
      </c>
      <c r="G54" s="322" t="s">
        <v>355</v>
      </c>
      <c r="H54" s="323"/>
      <c r="I54" s="9"/>
    </row>
    <row r="55" spans="1:9" ht="28.5" customHeight="1">
      <c r="A55" s="11" t="s">
        <v>178</v>
      </c>
      <c r="B55" s="11" t="s">
        <v>820</v>
      </c>
      <c r="C55" s="11" t="s">
        <v>306</v>
      </c>
      <c r="D55" s="15" t="s">
        <v>308</v>
      </c>
      <c r="E55" s="11" t="s">
        <v>10</v>
      </c>
      <c r="F55" s="175">
        <f>F54</f>
        <v>11.93088</v>
      </c>
      <c r="G55" s="322" t="s">
        <v>355</v>
      </c>
      <c r="H55" s="323"/>
      <c r="I55" s="9"/>
    </row>
    <row r="56" spans="1:9" ht="53.25" customHeight="1">
      <c r="A56" s="11" t="s">
        <v>179</v>
      </c>
      <c r="B56" s="11" t="s">
        <v>820</v>
      </c>
      <c r="C56" s="20" t="s">
        <v>338</v>
      </c>
      <c r="D56" s="180" t="s">
        <v>337</v>
      </c>
      <c r="E56" s="11" t="s">
        <v>9</v>
      </c>
      <c r="F56" s="10">
        <f>(26.24+65.73+30.67+55.57+42.38+27.97)*0.1</f>
        <v>24.856000000000002</v>
      </c>
      <c r="G56" s="322" t="s">
        <v>357</v>
      </c>
      <c r="H56" s="323"/>
      <c r="I56" s="9"/>
    </row>
    <row r="57" spans="1:9" ht="45.75" customHeight="1">
      <c r="A57" s="11" t="s">
        <v>180</v>
      </c>
      <c r="B57" s="11" t="s">
        <v>820</v>
      </c>
      <c r="C57" s="169" t="s">
        <v>19</v>
      </c>
      <c r="D57" s="181" t="s">
        <v>277</v>
      </c>
      <c r="E57" s="14" t="s">
        <v>9</v>
      </c>
      <c r="F57" s="182">
        <f>F51</f>
        <v>179.136</v>
      </c>
      <c r="G57" s="322" t="s">
        <v>353</v>
      </c>
      <c r="H57" s="323"/>
      <c r="I57" s="9"/>
    </row>
    <row r="58" spans="1:9" ht="33.75" customHeight="1">
      <c r="A58" s="11" t="s">
        <v>181</v>
      </c>
      <c r="B58" s="11" t="s">
        <v>820</v>
      </c>
      <c r="C58" s="20" t="s">
        <v>278</v>
      </c>
      <c r="D58" s="180" t="s">
        <v>284</v>
      </c>
      <c r="E58" s="14" t="s">
        <v>10</v>
      </c>
      <c r="F58" s="10">
        <f>4.9*0.4*0.18+(2*0.4*0.18)</f>
        <v>0.49680000000000002</v>
      </c>
      <c r="G58" s="322" t="s">
        <v>360</v>
      </c>
      <c r="H58" s="323"/>
      <c r="I58" s="9"/>
    </row>
    <row r="59" spans="1:9" ht="45" customHeight="1">
      <c r="A59" s="11" t="s">
        <v>182</v>
      </c>
      <c r="B59" s="11" t="s">
        <v>820</v>
      </c>
      <c r="C59" s="20" t="s">
        <v>292</v>
      </c>
      <c r="D59" s="180" t="s">
        <v>291</v>
      </c>
      <c r="E59" s="14" t="s">
        <v>293</v>
      </c>
      <c r="F59" s="10">
        <f>12*0.56</f>
        <v>6.7200000000000006</v>
      </c>
      <c r="G59" s="322" t="s">
        <v>359</v>
      </c>
      <c r="H59" s="323"/>
      <c r="I59" s="9"/>
    </row>
    <row r="60" spans="1:9" ht="46.5" customHeight="1">
      <c r="A60" s="11" t="s">
        <v>183</v>
      </c>
      <c r="B60" s="11" t="s">
        <v>820</v>
      </c>
      <c r="C60" s="20" t="s">
        <v>279</v>
      </c>
      <c r="D60" s="180" t="s">
        <v>285</v>
      </c>
      <c r="E60" s="14" t="s">
        <v>9</v>
      </c>
      <c r="F60" s="10">
        <f>4.9*0.4+2*0.4</f>
        <v>2.7600000000000002</v>
      </c>
      <c r="G60" s="322" t="s">
        <v>358</v>
      </c>
      <c r="H60" s="323"/>
      <c r="I60" s="9"/>
    </row>
    <row r="61" spans="1:9" ht="45.75" customHeight="1">
      <c r="A61" s="11" t="s">
        <v>184</v>
      </c>
      <c r="B61" s="11" t="s">
        <v>820</v>
      </c>
      <c r="C61" s="20" t="s">
        <v>280</v>
      </c>
      <c r="D61" s="180" t="s">
        <v>286</v>
      </c>
      <c r="E61" s="14" t="s">
        <v>9</v>
      </c>
      <c r="F61" s="10">
        <f>F60*2</f>
        <v>5.5200000000000005</v>
      </c>
      <c r="G61" s="322" t="s">
        <v>361</v>
      </c>
      <c r="H61" s="323"/>
      <c r="I61" s="9"/>
    </row>
    <row r="62" spans="1:9" ht="31.5" customHeight="1">
      <c r="A62" s="11" t="s">
        <v>188</v>
      </c>
      <c r="B62" s="11" t="s">
        <v>820</v>
      </c>
      <c r="C62" s="20" t="s">
        <v>281</v>
      </c>
      <c r="D62" s="180" t="s">
        <v>287</v>
      </c>
      <c r="E62" s="14" t="s">
        <v>9</v>
      </c>
      <c r="F62" s="10">
        <f>F61</f>
        <v>5.5200000000000005</v>
      </c>
      <c r="G62" s="322" t="s">
        <v>361</v>
      </c>
      <c r="H62" s="323"/>
      <c r="I62" s="9"/>
    </row>
    <row r="63" spans="1:9" ht="50.25" customHeight="1">
      <c r="A63" s="11" t="s">
        <v>189</v>
      </c>
      <c r="B63" s="11" t="s">
        <v>820</v>
      </c>
      <c r="C63" s="20" t="s">
        <v>282</v>
      </c>
      <c r="D63" s="180" t="s">
        <v>295</v>
      </c>
      <c r="E63" s="14" t="s">
        <v>9</v>
      </c>
      <c r="F63" s="10">
        <f>50*0.5</f>
        <v>25</v>
      </c>
      <c r="G63" s="322" t="s">
        <v>362</v>
      </c>
      <c r="H63" s="323"/>
      <c r="I63" s="9"/>
    </row>
    <row r="64" spans="1:9" ht="30.75" customHeight="1">
      <c r="A64" s="11" t="s">
        <v>190</v>
      </c>
      <c r="B64" s="11" t="s">
        <v>820</v>
      </c>
      <c r="C64" s="20" t="s">
        <v>283</v>
      </c>
      <c r="D64" s="180" t="s">
        <v>288</v>
      </c>
      <c r="E64" s="14" t="s">
        <v>10</v>
      </c>
      <c r="F64" s="10">
        <f>50*0.1*0.1</f>
        <v>0.5</v>
      </c>
      <c r="G64" s="322" t="s">
        <v>366</v>
      </c>
      <c r="H64" s="323"/>
      <c r="I64" s="9"/>
    </row>
    <row r="65" spans="1:11" ht="48" customHeight="1">
      <c r="A65" s="11" t="s">
        <v>349</v>
      </c>
      <c r="B65" s="11" t="s">
        <v>820</v>
      </c>
      <c r="C65" s="20" t="s">
        <v>289</v>
      </c>
      <c r="D65" s="180" t="s">
        <v>297</v>
      </c>
      <c r="E65" s="14" t="s">
        <v>10</v>
      </c>
      <c r="F65" s="10">
        <f>50*0.1</f>
        <v>5</v>
      </c>
      <c r="G65" s="322" t="s">
        <v>363</v>
      </c>
      <c r="H65" s="323"/>
      <c r="I65" s="9"/>
    </row>
    <row r="66" spans="1:11" ht="30.75" customHeight="1">
      <c r="A66" s="11" t="s">
        <v>350</v>
      </c>
      <c r="B66" s="11" t="s">
        <v>820</v>
      </c>
      <c r="C66" s="20" t="s">
        <v>290</v>
      </c>
      <c r="D66" s="180" t="s">
        <v>296</v>
      </c>
      <c r="E66" s="14" t="s">
        <v>10</v>
      </c>
      <c r="F66" s="10">
        <f>50*0.1*0.2</f>
        <v>1</v>
      </c>
      <c r="G66" s="322" t="s">
        <v>364</v>
      </c>
      <c r="H66" s="323"/>
      <c r="I66" s="9"/>
    </row>
    <row r="67" spans="1:11" ht="30.75" customHeight="1">
      <c r="A67" s="11" t="s">
        <v>351</v>
      </c>
      <c r="B67" s="11" t="s">
        <v>820</v>
      </c>
      <c r="C67" s="20" t="s">
        <v>41</v>
      </c>
      <c r="D67" s="149" t="s">
        <v>294</v>
      </c>
      <c r="E67" s="159" t="s">
        <v>9</v>
      </c>
      <c r="F67" s="175">
        <f>(20+4.25)*0.7*2*2</f>
        <v>67.899999999999991</v>
      </c>
      <c r="G67" s="322" t="s">
        <v>365</v>
      </c>
      <c r="H67" s="323"/>
      <c r="I67" s="9"/>
    </row>
    <row r="68" spans="1:11">
      <c r="A68" s="11"/>
      <c r="B68" s="14"/>
      <c r="C68" s="20"/>
      <c r="D68" s="191"/>
      <c r="E68" s="159"/>
      <c r="F68" s="159"/>
      <c r="G68" s="322"/>
      <c r="H68" s="323"/>
      <c r="I68" s="9"/>
    </row>
    <row r="69" spans="1:11">
      <c r="A69" s="22">
        <v>2</v>
      </c>
      <c r="B69" s="3"/>
      <c r="C69" s="3"/>
      <c r="D69" s="7" t="s">
        <v>792</v>
      </c>
      <c r="E69" s="3"/>
      <c r="F69" s="3"/>
      <c r="G69" s="324"/>
      <c r="H69" s="325"/>
      <c r="I69" s="9"/>
    </row>
    <row r="70" spans="1:11" ht="38.25" customHeight="1">
      <c r="A70" s="11" t="s">
        <v>63</v>
      </c>
      <c r="B70" s="14" t="s">
        <v>368</v>
      </c>
      <c r="C70" s="208" t="s">
        <v>369</v>
      </c>
      <c r="D70" s="174" t="s">
        <v>367</v>
      </c>
      <c r="E70" s="11" t="s">
        <v>150</v>
      </c>
      <c r="F70" s="10">
        <f>(90+39+39+33+33+33+47.07)+5.93</f>
        <v>320</v>
      </c>
      <c r="G70" s="322" t="s">
        <v>370</v>
      </c>
      <c r="H70" s="323"/>
      <c r="I70" s="9"/>
    </row>
    <row r="71" spans="1:11" ht="29.25">
      <c r="A71" s="11" t="s">
        <v>64</v>
      </c>
      <c r="B71" s="14" t="s">
        <v>333</v>
      </c>
      <c r="C71" s="11">
        <v>5033</v>
      </c>
      <c r="D71" s="160" t="s">
        <v>332</v>
      </c>
      <c r="E71" s="11" t="s">
        <v>156</v>
      </c>
      <c r="F71" s="10">
        <v>7</v>
      </c>
      <c r="G71" s="322" t="s">
        <v>371</v>
      </c>
      <c r="H71" s="323"/>
      <c r="I71" s="9"/>
    </row>
    <row r="72" spans="1:11" ht="57.75">
      <c r="A72" s="11" t="s">
        <v>146</v>
      </c>
      <c r="B72" s="14" t="s">
        <v>333</v>
      </c>
      <c r="C72" s="11">
        <v>100578</v>
      </c>
      <c r="D72" s="160" t="s">
        <v>334</v>
      </c>
      <c r="E72" s="11" t="s">
        <v>156</v>
      </c>
      <c r="F72" s="10">
        <v>7</v>
      </c>
      <c r="G72" s="322" t="s">
        <v>372</v>
      </c>
      <c r="H72" s="323"/>
      <c r="I72" s="9"/>
    </row>
    <row r="73" spans="1:11" ht="29.25">
      <c r="A73" s="11" t="s">
        <v>147</v>
      </c>
      <c r="B73" s="11" t="s">
        <v>820</v>
      </c>
      <c r="C73" s="156" t="s">
        <v>386</v>
      </c>
      <c r="D73" s="186" t="s">
        <v>400</v>
      </c>
      <c r="E73" s="30" t="s">
        <v>156</v>
      </c>
      <c r="F73" s="147">
        <v>8</v>
      </c>
      <c r="G73" s="322" t="s">
        <v>401</v>
      </c>
      <c r="H73" s="323"/>
      <c r="I73" s="9"/>
    </row>
    <row r="74" spans="1:11">
      <c r="A74" s="11"/>
      <c r="B74" s="14"/>
      <c r="C74" s="20"/>
      <c r="D74" s="176"/>
      <c r="E74" s="192"/>
      <c r="F74" s="159"/>
      <c r="G74" s="345"/>
      <c r="H74" s="345"/>
      <c r="I74" s="9"/>
    </row>
    <row r="75" spans="1:11" s="13" customFormat="1">
      <c r="A75" s="22" t="s">
        <v>173</v>
      </c>
      <c r="B75" s="3"/>
      <c r="C75" s="26"/>
      <c r="D75" s="27" t="s">
        <v>197</v>
      </c>
      <c r="E75" s="36"/>
      <c r="F75" s="3"/>
      <c r="G75" s="324"/>
      <c r="H75" s="325"/>
      <c r="I75" s="48"/>
    </row>
    <row r="76" spans="1:11">
      <c r="A76" s="22">
        <v>1</v>
      </c>
      <c r="B76" s="3"/>
      <c r="C76" s="26"/>
      <c r="D76" s="27" t="s">
        <v>153</v>
      </c>
      <c r="E76" s="36"/>
      <c r="F76" s="3"/>
      <c r="G76" s="324"/>
      <c r="H76" s="325"/>
      <c r="I76" s="19"/>
      <c r="J76" s="18"/>
      <c r="K76" s="18"/>
    </row>
    <row r="77" spans="1:11">
      <c r="A77" s="11" t="s">
        <v>43</v>
      </c>
      <c r="B77" s="11" t="s">
        <v>820</v>
      </c>
      <c r="C77" s="30" t="s">
        <v>154</v>
      </c>
      <c r="D77" s="154" t="s">
        <v>155</v>
      </c>
      <c r="E77" s="30" t="s">
        <v>156</v>
      </c>
      <c r="F77" s="147">
        <v>1</v>
      </c>
      <c r="G77" s="328" t="s">
        <v>229</v>
      </c>
      <c r="H77" s="329"/>
      <c r="I77" s="19"/>
      <c r="J77" s="18"/>
      <c r="K77" s="18"/>
    </row>
    <row r="78" spans="1:11">
      <c r="A78" s="11" t="s">
        <v>44</v>
      </c>
      <c r="B78" s="11" t="s">
        <v>820</v>
      </c>
      <c r="C78" s="11" t="s">
        <v>157</v>
      </c>
      <c r="D78" s="154" t="s">
        <v>158</v>
      </c>
      <c r="E78" s="30" t="s">
        <v>156</v>
      </c>
      <c r="F78" s="147">
        <v>1</v>
      </c>
      <c r="G78" s="328" t="s">
        <v>229</v>
      </c>
      <c r="H78" s="329"/>
      <c r="I78" s="19"/>
      <c r="J78" s="18"/>
      <c r="K78" s="18"/>
    </row>
    <row r="79" spans="1:11">
      <c r="A79" s="11" t="s">
        <v>45</v>
      </c>
      <c r="B79" s="11" t="s">
        <v>820</v>
      </c>
      <c r="C79" s="11" t="s">
        <v>159</v>
      </c>
      <c r="D79" s="154" t="s">
        <v>160</v>
      </c>
      <c r="E79" s="30" t="s">
        <v>156</v>
      </c>
      <c r="F79" s="147">
        <v>6</v>
      </c>
      <c r="G79" s="328" t="s">
        <v>399</v>
      </c>
      <c r="H79" s="329"/>
      <c r="I79" s="19"/>
      <c r="J79" s="18"/>
      <c r="K79" s="18"/>
    </row>
    <row r="80" spans="1:11">
      <c r="A80" s="11" t="s">
        <v>135</v>
      </c>
      <c r="B80" s="11" t="s">
        <v>820</v>
      </c>
      <c r="C80" s="11" t="s">
        <v>216</v>
      </c>
      <c r="D80" s="154" t="s">
        <v>219</v>
      </c>
      <c r="E80" s="30" t="s">
        <v>156</v>
      </c>
      <c r="F80" s="147">
        <v>1</v>
      </c>
      <c r="G80" s="328" t="s">
        <v>399</v>
      </c>
      <c r="H80" s="329"/>
      <c r="I80" s="18"/>
      <c r="J80" s="18"/>
      <c r="K80" s="18"/>
    </row>
    <row r="81" spans="1:11">
      <c r="A81" s="11" t="s">
        <v>174</v>
      </c>
      <c r="B81" s="11" t="s">
        <v>820</v>
      </c>
      <c r="C81" s="11" t="s">
        <v>218</v>
      </c>
      <c r="D81" s="154" t="s">
        <v>217</v>
      </c>
      <c r="E81" s="30" t="s">
        <v>156</v>
      </c>
      <c r="F81" s="147">
        <v>1</v>
      </c>
      <c r="G81" s="328" t="s">
        <v>399</v>
      </c>
      <c r="H81" s="329"/>
      <c r="I81" s="19"/>
      <c r="J81" s="18"/>
      <c r="K81" s="18"/>
    </row>
    <row r="82" spans="1:11" ht="43.5">
      <c r="A82" s="11" t="s">
        <v>175</v>
      </c>
      <c r="B82" s="11" t="s">
        <v>820</v>
      </c>
      <c r="C82" s="11" t="s">
        <v>221</v>
      </c>
      <c r="D82" s="154" t="s">
        <v>220</v>
      </c>
      <c r="E82" s="30" t="s">
        <v>156</v>
      </c>
      <c r="F82" s="147">
        <v>1</v>
      </c>
      <c r="G82" s="328" t="s">
        <v>399</v>
      </c>
      <c r="H82" s="329"/>
      <c r="I82" s="18"/>
      <c r="J82" s="18"/>
      <c r="K82" s="18"/>
    </row>
    <row r="83" spans="1:11">
      <c r="A83" s="11" t="s">
        <v>176</v>
      </c>
      <c r="B83" s="11" t="s">
        <v>820</v>
      </c>
      <c r="C83" s="11" t="s">
        <v>223</v>
      </c>
      <c r="D83" s="154" t="s">
        <v>222</v>
      </c>
      <c r="E83" s="30" t="s">
        <v>156</v>
      </c>
      <c r="F83" s="147">
        <v>1</v>
      </c>
      <c r="G83" s="328" t="s">
        <v>399</v>
      </c>
      <c r="H83" s="329"/>
      <c r="I83" s="18"/>
      <c r="J83" s="18"/>
      <c r="K83" s="18"/>
    </row>
    <row r="84" spans="1:11">
      <c r="A84" s="11" t="s">
        <v>177</v>
      </c>
      <c r="B84" s="11" t="s">
        <v>820</v>
      </c>
      <c r="C84" s="11" t="s">
        <v>161</v>
      </c>
      <c r="D84" s="154" t="s">
        <v>162</v>
      </c>
      <c r="E84" s="30" t="s">
        <v>156</v>
      </c>
      <c r="F84" s="147">
        <v>1</v>
      </c>
      <c r="G84" s="328" t="s">
        <v>229</v>
      </c>
      <c r="H84" s="329"/>
    </row>
    <row r="85" spans="1:11" ht="29.25">
      <c r="A85" s="11" t="s">
        <v>178</v>
      </c>
      <c r="B85" s="11" t="s">
        <v>820</v>
      </c>
      <c r="C85" s="11" t="s">
        <v>163</v>
      </c>
      <c r="D85" s="154" t="s">
        <v>164</v>
      </c>
      <c r="E85" s="30" t="s">
        <v>156</v>
      </c>
      <c r="F85" s="147">
        <v>4</v>
      </c>
      <c r="G85" s="328" t="s">
        <v>229</v>
      </c>
      <c r="H85" s="329"/>
    </row>
    <row r="86" spans="1:11" ht="29.25">
      <c r="A86" s="11" t="s">
        <v>179</v>
      </c>
      <c r="B86" s="11" t="s">
        <v>820</v>
      </c>
      <c r="C86" s="11" t="s">
        <v>165</v>
      </c>
      <c r="D86" s="154" t="s">
        <v>166</v>
      </c>
      <c r="E86" s="30" t="s">
        <v>156</v>
      </c>
      <c r="F86" s="147">
        <v>1</v>
      </c>
      <c r="G86" s="328" t="s">
        <v>229</v>
      </c>
      <c r="H86" s="329"/>
    </row>
    <row r="87" spans="1:11">
      <c r="A87" s="11" t="s">
        <v>180</v>
      </c>
      <c r="B87" s="11" t="s">
        <v>820</v>
      </c>
      <c r="C87" s="11" t="s">
        <v>167</v>
      </c>
      <c r="D87" s="154" t="s">
        <v>168</v>
      </c>
      <c r="E87" s="30" t="s">
        <v>156</v>
      </c>
      <c r="F87" s="147">
        <v>4</v>
      </c>
      <c r="G87" s="328" t="s">
        <v>229</v>
      </c>
      <c r="H87" s="329"/>
    </row>
    <row r="88" spans="1:11" ht="38.25" customHeight="1">
      <c r="A88" s="11" t="s">
        <v>181</v>
      </c>
      <c r="B88" s="11" t="s">
        <v>820</v>
      </c>
      <c r="C88" s="11" t="s">
        <v>395</v>
      </c>
      <c r="D88" s="154" t="s">
        <v>394</v>
      </c>
      <c r="E88" s="30" t="s">
        <v>150</v>
      </c>
      <c r="F88" s="147">
        <f>4</f>
        <v>4</v>
      </c>
      <c r="G88" s="343" t="s">
        <v>407</v>
      </c>
      <c r="H88" s="344"/>
    </row>
    <row r="89" spans="1:11" ht="38.25" customHeight="1">
      <c r="A89" s="11" t="s">
        <v>182</v>
      </c>
      <c r="B89" s="11" t="s">
        <v>820</v>
      </c>
      <c r="C89" s="11" t="s">
        <v>406</v>
      </c>
      <c r="D89" s="154" t="s">
        <v>405</v>
      </c>
      <c r="E89" s="30" t="s">
        <v>150</v>
      </c>
      <c r="F89" s="147">
        <f>4*3+(20*3)</f>
        <v>72</v>
      </c>
      <c r="G89" s="343" t="s">
        <v>833</v>
      </c>
      <c r="H89" s="344"/>
    </row>
    <row r="90" spans="1:11" ht="33" customHeight="1">
      <c r="A90" s="11" t="s">
        <v>183</v>
      </c>
      <c r="B90" s="11" t="s">
        <v>820</v>
      </c>
      <c r="C90" s="11" t="s">
        <v>191</v>
      </c>
      <c r="D90" s="154" t="s">
        <v>187</v>
      </c>
      <c r="E90" s="30" t="s">
        <v>150</v>
      </c>
      <c r="F90" s="147">
        <f>(2.78*3)*3</f>
        <v>25.02</v>
      </c>
      <c r="G90" s="343" t="s">
        <v>396</v>
      </c>
      <c r="H90" s="344"/>
    </row>
    <row r="91" spans="1:11" ht="31.5" customHeight="1">
      <c r="A91" s="11" t="s">
        <v>184</v>
      </c>
      <c r="B91" s="11" t="s">
        <v>820</v>
      </c>
      <c r="C91" s="11" t="s">
        <v>169</v>
      </c>
      <c r="D91" s="154" t="s">
        <v>170</v>
      </c>
      <c r="E91" s="30" t="s">
        <v>150</v>
      </c>
      <c r="F91" s="147">
        <f>(2.71+1.5+2+1.2+2.32+2.2+(2.65*5))*3</f>
        <v>75.539999999999992</v>
      </c>
      <c r="G91" s="343" t="s">
        <v>397</v>
      </c>
      <c r="H91" s="344"/>
    </row>
    <row r="92" spans="1:11" ht="41.25" customHeight="1">
      <c r="A92" s="11" t="s">
        <v>188</v>
      </c>
      <c r="B92" s="11" t="s">
        <v>820</v>
      </c>
      <c r="C92" s="11" t="s">
        <v>171</v>
      </c>
      <c r="D92" s="154" t="s">
        <v>172</v>
      </c>
      <c r="E92" s="30" t="s">
        <v>150</v>
      </c>
      <c r="F92" s="147">
        <f>(1.2+2.32+2.2+(2.65*5))*2</f>
        <v>37.94</v>
      </c>
      <c r="G92" s="343" t="s">
        <v>398</v>
      </c>
      <c r="H92" s="344"/>
    </row>
    <row r="93" spans="1:11">
      <c r="A93" s="11" t="s">
        <v>189</v>
      </c>
      <c r="B93" s="11" t="s">
        <v>820</v>
      </c>
      <c r="C93" s="11" t="s">
        <v>193</v>
      </c>
      <c r="D93" s="154" t="s">
        <v>194</v>
      </c>
      <c r="E93" s="30" t="s">
        <v>192</v>
      </c>
      <c r="F93" s="147">
        <v>2</v>
      </c>
      <c r="G93" s="328" t="s">
        <v>229</v>
      </c>
      <c r="H93" s="329"/>
    </row>
    <row r="94" spans="1:11">
      <c r="A94" s="11" t="s">
        <v>190</v>
      </c>
      <c r="B94" s="11" t="s">
        <v>820</v>
      </c>
      <c r="C94" s="11" t="s">
        <v>195</v>
      </c>
      <c r="D94" s="154" t="s">
        <v>196</v>
      </c>
      <c r="E94" s="30" t="s">
        <v>192</v>
      </c>
      <c r="F94" s="147">
        <v>3</v>
      </c>
      <c r="G94" s="328" t="s">
        <v>229</v>
      </c>
      <c r="H94" s="329"/>
    </row>
    <row r="95" spans="1:11" ht="29.25">
      <c r="A95" s="11" t="s">
        <v>349</v>
      </c>
      <c r="B95" s="11" t="s">
        <v>820</v>
      </c>
      <c r="C95" s="11" t="s">
        <v>185</v>
      </c>
      <c r="D95" s="154" t="s">
        <v>186</v>
      </c>
      <c r="E95" s="30" t="s">
        <v>156</v>
      </c>
      <c r="F95" s="147">
        <v>4</v>
      </c>
      <c r="G95" s="328" t="s">
        <v>236</v>
      </c>
      <c r="H95" s="329"/>
    </row>
    <row r="96" spans="1:11" ht="29.25">
      <c r="A96" s="11" t="s">
        <v>350</v>
      </c>
      <c r="B96" s="14" t="s">
        <v>333</v>
      </c>
      <c r="C96" s="156">
        <v>41195</v>
      </c>
      <c r="D96" s="186" t="s">
        <v>348</v>
      </c>
      <c r="E96" s="30" t="s">
        <v>156</v>
      </c>
      <c r="F96" s="147">
        <v>1</v>
      </c>
      <c r="G96" s="331" t="s">
        <v>236</v>
      </c>
      <c r="H96" s="332"/>
    </row>
    <row r="97" spans="1:8" ht="57.75">
      <c r="A97" s="11" t="s">
        <v>351</v>
      </c>
      <c r="B97" s="14" t="s">
        <v>333</v>
      </c>
      <c r="C97" s="11">
        <v>100578</v>
      </c>
      <c r="D97" s="160" t="s">
        <v>334</v>
      </c>
      <c r="E97" s="11" t="s">
        <v>156</v>
      </c>
      <c r="F97" s="10">
        <v>1</v>
      </c>
      <c r="G97" s="331" t="s">
        <v>236</v>
      </c>
      <c r="H97" s="332"/>
    </row>
    <row r="98" spans="1:8">
      <c r="A98" s="11" t="s">
        <v>387</v>
      </c>
      <c r="B98" s="11" t="s">
        <v>820</v>
      </c>
      <c r="C98" s="156" t="s">
        <v>347</v>
      </c>
      <c r="D98" s="186" t="s">
        <v>346</v>
      </c>
      <c r="E98" s="30" t="s">
        <v>150</v>
      </c>
      <c r="F98" s="147">
        <f>7.5+0.5</f>
        <v>8</v>
      </c>
      <c r="G98" s="331" t="s">
        <v>236</v>
      </c>
      <c r="H98" s="332"/>
    </row>
    <row r="99" spans="1:8">
      <c r="A99" s="11" t="s">
        <v>390</v>
      </c>
      <c r="B99" s="11" t="s">
        <v>820</v>
      </c>
      <c r="C99" s="156" t="s">
        <v>386</v>
      </c>
      <c r="D99" s="186" t="s">
        <v>385</v>
      </c>
      <c r="E99" s="30" t="s">
        <v>156</v>
      </c>
      <c r="F99" s="147">
        <f>1</f>
        <v>1</v>
      </c>
      <c r="G99" s="331" t="s">
        <v>236</v>
      </c>
      <c r="H99" s="332"/>
    </row>
    <row r="100" spans="1:8" ht="29.25">
      <c r="A100" s="11" t="s">
        <v>393</v>
      </c>
      <c r="B100" s="11" t="s">
        <v>820</v>
      </c>
      <c r="C100" s="156" t="s">
        <v>392</v>
      </c>
      <c r="D100" s="186" t="s">
        <v>391</v>
      </c>
      <c r="E100" s="30" t="s">
        <v>156</v>
      </c>
      <c r="F100" s="147">
        <v>1</v>
      </c>
      <c r="G100" s="331" t="s">
        <v>236</v>
      </c>
      <c r="H100" s="332"/>
    </row>
    <row r="101" spans="1:8">
      <c r="A101" s="11" t="s">
        <v>408</v>
      </c>
      <c r="B101" s="11" t="s">
        <v>820</v>
      </c>
      <c r="C101" s="156" t="s">
        <v>389</v>
      </c>
      <c r="D101" s="186" t="s">
        <v>388</v>
      </c>
      <c r="E101" s="30" t="s">
        <v>156</v>
      </c>
      <c r="F101" s="147">
        <v>1</v>
      </c>
      <c r="G101" s="331" t="s">
        <v>236</v>
      </c>
      <c r="H101" s="332"/>
    </row>
    <row r="102" spans="1:8">
      <c r="A102" s="11"/>
      <c r="B102" s="11"/>
      <c r="C102" s="156"/>
      <c r="D102" s="163"/>
      <c r="E102" s="11"/>
      <c r="F102" s="10"/>
      <c r="G102" s="331"/>
      <c r="H102" s="332"/>
    </row>
    <row r="103" spans="1:8">
      <c r="A103" s="22">
        <v>2</v>
      </c>
      <c r="B103" s="157"/>
      <c r="C103" s="158"/>
      <c r="D103" s="7" t="s">
        <v>204</v>
      </c>
      <c r="E103" s="3"/>
      <c r="F103" s="3"/>
      <c r="G103" s="324"/>
      <c r="H103" s="325"/>
    </row>
    <row r="104" spans="1:8" ht="29.25" customHeight="1">
      <c r="A104" s="11" t="s">
        <v>63</v>
      </c>
      <c r="B104" s="11" t="s">
        <v>820</v>
      </c>
      <c r="C104" s="156" t="s">
        <v>200</v>
      </c>
      <c r="D104" s="1" t="s">
        <v>201</v>
      </c>
      <c r="E104" s="11" t="s">
        <v>150</v>
      </c>
      <c r="F104" s="11">
        <f>1.28+1.18+0.3</f>
        <v>2.76</v>
      </c>
      <c r="G104" s="319" t="s">
        <v>301</v>
      </c>
      <c r="H104" s="319"/>
    </row>
    <row r="105" spans="1:8" ht="48.75" customHeight="1">
      <c r="A105" s="11" t="s">
        <v>64</v>
      </c>
      <c r="B105" s="11" t="s">
        <v>820</v>
      </c>
      <c r="C105" s="156" t="s">
        <v>206</v>
      </c>
      <c r="D105" s="153" t="s">
        <v>205</v>
      </c>
      <c r="E105" s="11" t="s">
        <v>150</v>
      </c>
      <c r="F105" s="10">
        <f>(2.08+0.32+1.1+0.32+1.65+1.05+1.17+0.8)*1.41</f>
        <v>11.9709</v>
      </c>
      <c r="G105" s="319" t="s">
        <v>837</v>
      </c>
      <c r="H105" s="319"/>
    </row>
    <row r="106" spans="1:8" ht="32.25" customHeight="1">
      <c r="A106" s="11" t="s">
        <v>146</v>
      </c>
      <c r="B106" s="11" t="s">
        <v>820</v>
      </c>
      <c r="C106" s="156" t="s">
        <v>208</v>
      </c>
      <c r="D106" s="153" t="s">
        <v>207</v>
      </c>
      <c r="E106" s="11" t="s">
        <v>9</v>
      </c>
      <c r="F106" s="11">
        <f>0.8*2.1</f>
        <v>1.6800000000000002</v>
      </c>
      <c r="G106" s="319" t="s">
        <v>230</v>
      </c>
      <c r="H106" s="319"/>
    </row>
    <row r="107" spans="1:8" ht="29.25">
      <c r="A107" s="11" t="s">
        <v>147</v>
      </c>
      <c r="B107" s="11" t="s">
        <v>820</v>
      </c>
      <c r="C107" s="156" t="s">
        <v>210</v>
      </c>
      <c r="D107" s="155" t="s">
        <v>224</v>
      </c>
      <c r="E107" s="11" t="s">
        <v>150</v>
      </c>
      <c r="F107" s="10">
        <v>5.9</v>
      </c>
      <c r="G107" s="330" t="s">
        <v>235</v>
      </c>
      <c r="H107" s="330"/>
    </row>
    <row r="108" spans="1:8">
      <c r="A108" s="11"/>
      <c r="B108" s="16"/>
      <c r="C108" s="156"/>
      <c r="D108" s="153"/>
      <c r="E108" s="11"/>
      <c r="F108" s="16"/>
      <c r="G108" s="330"/>
      <c r="H108" s="330"/>
    </row>
    <row r="109" spans="1:8">
      <c r="A109" s="22">
        <v>3</v>
      </c>
      <c r="B109" s="157"/>
      <c r="C109" s="158"/>
      <c r="D109" s="151" t="s">
        <v>225</v>
      </c>
      <c r="E109" s="3"/>
      <c r="F109" s="3"/>
      <c r="G109" s="324"/>
      <c r="H109" s="325"/>
    </row>
    <row r="110" spans="1:8" ht="32.25" customHeight="1">
      <c r="A110" s="11" t="s">
        <v>65</v>
      </c>
      <c r="B110" s="11" t="s">
        <v>820</v>
      </c>
      <c r="C110" s="156" t="s">
        <v>228</v>
      </c>
      <c r="D110" s="153" t="s">
        <v>227</v>
      </c>
      <c r="E110" s="11" t="s">
        <v>9</v>
      </c>
      <c r="F110" s="11">
        <f>1.2+4.16+1.56+1.95</f>
        <v>8.8699999999999992</v>
      </c>
      <c r="G110" s="319" t="s">
        <v>274</v>
      </c>
      <c r="H110" s="319"/>
    </row>
    <row r="111" spans="1:8" ht="32.25" customHeight="1">
      <c r="A111" s="11" t="s">
        <v>66</v>
      </c>
      <c r="B111" s="11" t="s">
        <v>820</v>
      </c>
      <c r="C111" s="156" t="s">
        <v>299</v>
      </c>
      <c r="D111" s="155" t="s">
        <v>298</v>
      </c>
      <c r="E111" s="11" t="s">
        <v>293</v>
      </c>
      <c r="F111" s="10">
        <f>29.4*0.38</f>
        <v>11.171999999999999</v>
      </c>
      <c r="G111" s="339" t="s">
        <v>300</v>
      </c>
      <c r="H111" s="340"/>
    </row>
    <row r="112" spans="1:8">
      <c r="A112" s="11"/>
      <c r="B112" s="16"/>
      <c r="C112" s="156"/>
      <c r="D112" s="153"/>
      <c r="E112" s="11"/>
      <c r="F112" s="16"/>
      <c r="G112" s="330"/>
      <c r="H112" s="330"/>
    </row>
    <row r="113" spans="1:8">
      <c r="A113" s="22">
        <v>4</v>
      </c>
      <c r="B113" s="157"/>
      <c r="C113" s="158"/>
      <c r="D113" s="151" t="s">
        <v>57</v>
      </c>
      <c r="E113" s="3"/>
      <c r="F113" s="3"/>
      <c r="G113" s="324"/>
      <c r="H113" s="325"/>
    </row>
    <row r="114" spans="1:8">
      <c r="A114" s="11" t="s">
        <v>50</v>
      </c>
      <c r="B114" s="11" t="s">
        <v>820</v>
      </c>
      <c r="C114" s="11" t="s">
        <v>693</v>
      </c>
      <c r="D114" s="15" t="s">
        <v>689</v>
      </c>
      <c r="E114" s="11" t="s">
        <v>691</v>
      </c>
      <c r="F114" s="10">
        <f>10*1</f>
        <v>10</v>
      </c>
      <c r="G114" s="319" t="s">
        <v>694</v>
      </c>
      <c r="H114" s="319"/>
    </row>
    <row r="115" spans="1:8">
      <c r="A115" s="11" t="s">
        <v>52</v>
      </c>
      <c r="B115" s="11" t="s">
        <v>820</v>
      </c>
      <c r="C115" s="11" t="s">
        <v>692</v>
      </c>
      <c r="D115" s="15" t="s">
        <v>690</v>
      </c>
      <c r="E115" s="11" t="s">
        <v>150</v>
      </c>
      <c r="F115" s="10">
        <f>10</f>
        <v>10</v>
      </c>
      <c r="G115" s="319" t="s">
        <v>695</v>
      </c>
      <c r="H115" s="319"/>
    </row>
    <row r="116" spans="1:8" ht="65.25" customHeight="1">
      <c r="A116" s="11" t="s">
        <v>70</v>
      </c>
      <c r="B116" s="11" t="s">
        <v>820</v>
      </c>
      <c r="C116" s="20" t="s">
        <v>198</v>
      </c>
      <c r="D116" s="149" t="s">
        <v>203</v>
      </c>
      <c r="E116" s="159" t="s">
        <v>9</v>
      </c>
      <c r="F116" s="159">
        <f>((9.01*3.13)+(14.18*3.57)+(8.98*1.61)+(7.67*3.13)+(17.17*2.65)+(7.72*1.8)+6.68+9.54)</f>
        <v>192.90529999999998</v>
      </c>
      <c r="G116" s="319" t="s">
        <v>232</v>
      </c>
      <c r="H116" s="319"/>
    </row>
    <row r="117" spans="1:8" ht="63.75" customHeight="1">
      <c r="A117" s="11" t="s">
        <v>226</v>
      </c>
      <c r="B117" s="11" t="s">
        <v>820</v>
      </c>
      <c r="C117" s="20" t="s">
        <v>41</v>
      </c>
      <c r="D117" s="149" t="s">
        <v>202</v>
      </c>
      <c r="E117" s="159" t="s">
        <v>9</v>
      </c>
      <c r="F117" s="159">
        <f>F116</f>
        <v>192.90529999999998</v>
      </c>
      <c r="G117" s="319" t="s">
        <v>231</v>
      </c>
      <c r="H117" s="319"/>
    </row>
    <row r="118" spans="1:8" ht="45.75" customHeight="1">
      <c r="A118" s="11" t="s">
        <v>243</v>
      </c>
      <c r="B118" s="11" t="s">
        <v>820</v>
      </c>
      <c r="C118" s="20" t="s">
        <v>199</v>
      </c>
      <c r="D118" s="160" t="s">
        <v>209</v>
      </c>
      <c r="E118" s="159" t="s">
        <v>9</v>
      </c>
      <c r="F118" s="159">
        <f>(0.12*10.37)+(0.8*2.1*2.5)+2.56</f>
        <v>8.0044000000000004</v>
      </c>
      <c r="G118" s="319" t="s">
        <v>233</v>
      </c>
      <c r="H118" s="319"/>
    </row>
    <row r="119" spans="1:8" ht="35.25" customHeight="1">
      <c r="A119" s="11" t="s">
        <v>246</v>
      </c>
      <c r="B119" s="11" t="s">
        <v>820</v>
      </c>
      <c r="C119" s="20" t="s">
        <v>213</v>
      </c>
      <c r="D119" s="149" t="s">
        <v>214</v>
      </c>
      <c r="E119" s="159" t="s">
        <v>9</v>
      </c>
      <c r="F119" s="159">
        <f>3.19+(0.8*0.16*0.18)+7.35</f>
        <v>10.563039999999999</v>
      </c>
      <c r="G119" s="319" t="s">
        <v>234</v>
      </c>
      <c r="H119" s="319"/>
    </row>
    <row r="120" spans="1:8" ht="48" customHeight="1">
      <c r="A120" s="11" t="s">
        <v>696</v>
      </c>
      <c r="B120" s="11" t="s">
        <v>820</v>
      </c>
      <c r="C120" s="11" t="s">
        <v>244</v>
      </c>
      <c r="D120" s="15" t="s">
        <v>245</v>
      </c>
      <c r="E120" s="11" t="s">
        <v>9</v>
      </c>
      <c r="F120" s="10">
        <f>1.82+7.87+(15.98*0.3)</f>
        <v>14.483999999999998</v>
      </c>
      <c r="G120" s="319" t="s">
        <v>303</v>
      </c>
      <c r="H120" s="319"/>
    </row>
    <row r="121" spans="1:8" ht="35.25" customHeight="1">
      <c r="A121" s="11" t="s">
        <v>697</v>
      </c>
      <c r="B121" s="11" t="s">
        <v>820</v>
      </c>
      <c r="C121" s="11" t="s">
        <v>247</v>
      </c>
      <c r="D121" s="15" t="s">
        <v>248</v>
      </c>
      <c r="E121" s="11" t="s">
        <v>10</v>
      </c>
      <c r="F121" s="10">
        <f>(1.82+7.87)*0.02</f>
        <v>0.1938</v>
      </c>
      <c r="G121" s="319" t="s">
        <v>304</v>
      </c>
      <c r="H121" s="319"/>
    </row>
    <row r="122" spans="1:8" ht="15.75" customHeight="1">
      <c r="A122" s="11"/>
      <c r="B122" s="14"/>
      <c r="C122" s="20"/>
      <c r="D122" s="176"/>
      <c r="E122" s="159"/>
      <c r="F122" s="159"/>
      <c r="G122" s="339"/>
      <c r="H122" s="340"/>
    </row>
    <row r="123" spans="1:8">
      <c r="A123" s="22">
        <v>5</v>
      </c>
      <c r="B123" s="164"/>
      <c r="C123" s="165"/>
      <c r="D123" s="179" t="s">
        <v>249</v>
      </c>
      <c r="E123" s="167"/>
      <c r="F123" s="167"/>
      <c r="G123" s="316"/>
      <c r="H123" s="316"/>
    </row>
    <row r="124" spans="1:8" ht="35.25" customHeight="1">
      <c r="A124" s="169" t="s">
        <v>270</v>
      </c>
      <c r="B124" s="11" t="s">
        <v>820</v>
      </c>
      <c r="C124" s="30" t="s">
        <v>250</v>
      </c>
      <c r="D124" s="170" t="s">
        <v>251</v>
      </c>
      <c r="E124" s="30" t="s">
        <v>156</v>
      </c>
      <c r="F124" s="171">
        <f>1</f>
        <v>1</v>
      </c>
      <c r="G124" s="305" t="s">
        <v>264</v>
      </c>
      <c r="H124" s="306"/>
    </row>
    <row r="125" spans="1:8" ht="35.25" customHeight="1">
      <c r="A125" s="169" t="s">
        <v>271</v>
      </c>
      <c r="B125" s="11" t="s">
        <v>820</v>
      </c>
      <c r="C125" s="30" t="s">
        <v>252</v>
      </c>
      <c r="D125" s="170" t="s">
        <v>253</v>
      </c>
      <c r="E125" s="30" t="s">
        <v>156</v>
      </c>
      <c r="F125" s="171">
        <f>2</f>
        <v>2</v>
      </c>
      <c r="G125" s="305" t="s">
        <v>264</v>
      </c>
      <c r="H125" s="306"/>
    </row>
    <row r="126" spans="1:8" ht="35.25" customHeight="1">
      <c r="A126" s="169" t="s">
        <v>272</v>
      </c>
      <c r="B126" s="11" t="s">
        <v>820</v>
      </c>
      <c r="C126" s="173" t="s">
        <v>254</v>
      </c>
      <c r="D126" s="174" t="s">
        <v>255</v>
      </c>
      <c r="E126" s="175" t="s">
        <v>156</v>
      </c>
      <c r="F126" s="175">
        <v>1</v>
      </c>
      <c r="G126" s="305" t="s">
        <v>264</v>
      </c>
      <c r="H126" s="306"/>
    </row>
    <row r="127" spans="1:8" ht="35.25" customHeight="1">
      <c r="A127" s="169" t="s">
        <v>273</v>
      </c>
      <c r="B127" s="11" t="s">
        <v>820</v>
      </c>
      <c r="C127" s="173" t="s">
        <v>256</v>
      </c>
      <c r="D127" s="174" t="s">
        <v>257</v>
      </c>
      <c r="E127" s="175" t="s">
        <v>156</v>
      </c>
      <c r="F127" s="175">
        <v>3</v>
      </c>
      <c r="G127" s="305" t="s">
        <v>264</v>
      </c>
      <c r="H127" s="306"/>
    </row>
    <row r="128" spans="1:8" ht="35.25" customHeight="1">
      <c r="A128" s="239"/>
      <c r="B128" s="28"/>
      <c r="C128" s="240"/>
      <c r="D128" s="174"/>
      <c r="E128" s="175"/>
      <c r="F128" s="175"/>
      <c r="G128" s="305"/>
      <c r="H128" s="306"/>
    </row>
    <row r="129" spans="1:9">
      <c r="A129" s="22" t="s">
        <v>422</v>
      </c>
      <c r="B129" s="164"/>
      <c r="C129" s="165"/>
      <c r="D129" s="166" t="s">
        <v>754</v>
      </c>
      <c r="E129" s="167"/>
      <c r="F129" s="167"/>
      <c r="G129" s="312"/>
      <c r="H129" s="313"/>
    </row>
    <row r="130" spans="1:9">
      <c r="A130" s="22">
        <v>1</v>
      </c>
      <c r="B130" s="164"/>
      <c r="C130" s="165"/>
      <c r="D130" s="166" t="s">
        <v>734</v>
      </c>
      <c r="E130" s="167"/>
      <c r="F130" s="167"/>
      <c r="G130" s="312"/>
      <c r="H130" s="313"/>
    </row>
    <row r="131" spans="1:9" ht="35.25" customHeight="1">
      <c r="A131" s="11" t="s">
        <v>43</v>
      </c>
      <c r="B131" s="11" t="s">
        <v>820</v>
      </c>
      <c r="C131" s="30" t="s">
        <v>724</v>
      </c>
      <c r="D131" s="31" t="s">
        <v>723</v>
      </c>
      <c r="E131" s="25" t="s">
        <v>9</v>
      </c>
      <c r="F131" s="10">
        <v>1412.12</v>
      </c>
      <c r="G131" s="305" t="s">
        <v>815</v>
      </c>
      <c r="H131" s="306"/>
    </row>
    <row r="132" spans="1:9" ht="49.5" customHeight="1">
      <c r="A132" s="11" t="s">
        <v>44</v>
      </c>
      <c r="B132" s="11" t="s">
        <v>820</v>
      </c>
      <c r="C132" s="30" t="s">
        <v>421</v>
      </c>
      <c r="D132" s="31" t="s">
        <v>420</v>
      </c>
      <c r="E132" s="25" t="s">
        <v>9</v>
      </c>
      <c r="F132" s="10">
        <v>1412.12</v>
      </c>
      <c r="G132" s="305" t="s">
        <v>816</v>
      </c>
      <c r="H132" s="306"/>
    </row>
    <row r="133" spans="1:9" ht="35.25" customHeight="1">
      <c r="A133" s="11" t="s">
        <v>45</v>
      </c>
      <c r="B133" s="11" t="s">
        <v>820</v>
      </c>
      <c r="C133" s="30" t="s">
        <v>632</v>
      </c>
      <c r="D133" s="31" t="s">
        <v>631</v>
      </c>
      <c r="E133" s="25" t="s">
        <v>10</v>
      </c>
      <c r="F133" s="10">
        <f>1412.12*0.1</f>
        <v>141.21199999999999</v>
      </c>
      <c r="G133" s="305" t="s">
        <v>766</v>
      </c>
      <c r="H133" s="306"/>
    </row>
    <row r="134" spans="1:9" ht="35.25" customHeight="1">
      <c r="A134" s="11" t="s">
        <v>135</v>
      </c>
      <c r="B134" s="11" t="s">
        <v>820</v>
      </c>
      <c r="C134" s="263" t="s">
        <v>819</v>
      </c>
      <c r="D134" s="223" t="s">
        <v>818</v>
      </c>
      <c r="E134" s="25" t="s">
        <v>10</v>
      </c>
      <c r="F134" s="10">
        <f>(225.73+217.94+15)*0.048</f>
        <v>22.016159999999999</v>
      </c>
      <c r="G134" s="305" t="s">
        <v>835</v>
      </c>
      <c r="H134" s="306"/>
    </row>
    <row r="135" spans="1:9" ht="35.25" customHeight="1">
      <c r="A135" s="11" t="s">
        <v>174</v>
      </c>
      <c r="B135" s="11" t="s">
        <v>820</v>
      </c>
      <c r="C135" s="250" t="s">
        <v>305</v>
      </c>
      <c r="D135" s="220" t="s">
        <v>759</v>
      </c>
      <c r="E135" s="250" t="s">
        <v>10</v>
      </c>
      <c r="F135" s="251">
        <f>F134</f>
        <v>22.016159999999999</v>
      </c>
      <c r="G135" s="305" t="s">
        <v>835</v>
      </c>
      <c r="H135" s="306"/>
    </row>
    <row r="136" spans="1:9" ht="35.25" customHeight="1">
      <c r="A136" s="11" t="s">
        <v>175</v>
      </c>
      <c r="B136" s="11" t="s">
        <v>820</v>
      </c>
      <c r="C136" s="11" t="s">
        <v>306</v>
      </c>
      <c r="D136" s="15" t="s">
        <v>308</v>
      </c>
      <c r="E136" s="11" t="s">
        <v>10</v>
      </c>
      <c r="F136" s="175">
        <f>F135</f>
        <v>22.016159999999999</v>
      </c>
      <c r="G136" s="305" t="s">
        <v>835</v>
      </c>
      <c r="H136" s="306"/>
    </row>
    <row r="137" spans="1:9" ht="35.25" customHeight="1">
      <c r="A137" s="11" t="s">
        <v>176</v>
      </c>
      <c r="B137" s="11" t="s">
        <v>820</v>
      </c>
      <c r="C137" s="11" t="s">
        <v>721</v>
      </c>
      <c r="D137" s="15" t="s">
        <v>720</v>
      </c>
      <c r="E137" s="11" t="s">
        <v>150</v>
      </c>
      <c r="F137" s="10">
        <f>12+6+11+4</f>
        <v>33</v>
      </c>
      <c r="G137" s="305" t="s">
        <v>767</v>
      </c>
      <c r="H137" s="306"/>
    </row>
    <row r="138" spans="1:9" ht="88.5" customHeight="1">
      <c r="A138" s="11" t="s">
        <v>177</v>
      </c>
      <c r="B138" s="11" t="s">
        <v>820</v>
      </c>
      <c r="C138" s="11" t="s">
        <v>830</v>
      </c>
      <c r="D138" s="15" t="s">
        <v>831</v>
      </c>
      <c r="E138" s="25" t="s">
        <v>9</v>
      </c>
      <c r="F138" s="10">
        <f>F139+10692.88</f>
        <v>12105</v>
      </c>
      <c r="G138" s="305" t="s">
        <v>838</v>
      </c>
      <c r="H138" s="306"/>
      <c r="I138" s="268"/>
    </row>
    <row r="139" spans="1:9" ht="35.25" customHeight="1">
      <c r="A139" s="11" t="s">
        <v>178</v>
      </c>
      <c r="B139" s="11" t="s">
        <v>820</v>
      </c>
      <c r="C139" s="30" t="s">
        <v>21</v>
      </c>
      <c r="D139" s="31" t="s">
        <v>20</v>
      </c>
      <c r="E139" s="25" t="s">
        <v>9</v>
      </c>
      <c r="F139" s="10">
        <v>1412.12</v>
      </c>
      <c r="G139" s="305" t="s">
        <v>768</v>
      </c>
      <c r="H139" s="306"/>
    </row>
    <row r="140" spans="1:9" ht="35.25" customHeight="1">
      <c r="A140" s="11" t="s">
        <v>179</v>
      </c>
      <c r="B140" s="11" t="s">
        <v>820</v>
      </c>
      <c r="C140" s="30" t="s">
        <v>757</v>
      </c>
      <c r="D140" s="31" t="s">
        <v>756</v>
      </c>
      <c r="E140" s="25" t="s">
        <v>150</v>
      </c>
      <c r="F140" s="10">
        <v>12</v>
      </c>
      <c r="G140" s="305" t="s">
        <v>769</v>
      </c>
      <c r="H140" s="306"/>
    </row>
    <row r="141" spans="1:9" ht="35.25" customHeight="1">
      <c r="A141" s="11" t="s">
        <v>180</v>
      </c>
      <c r="B141" s="11" t="s">
        <v>820</v>
      </c>
      <c r="C141" s="250" t="s">
        <v>425</v>
      </c>
      <c r="D141" s="258" t="s">
        <v>794</v>
      </c>
      <c r="E141" s="250" t="s">
        <v>10</v>
      </c>
      <c r="F141" s="251">
        <f>12*0.7*0.4</f>
        <v>3.3599999999999994</v>
      </c>
      <c r="G141" s="305" t="s">
        <v>797</v>
      </c>
      <c r="H141" s="306"/>
    </row>
    <row r="142" spans="1:9" ht="35.25" customHeight="1">
      <c r="A142" s="11" t="s">
        <v>181</v>
      </c>
      <c r="B142" s="11" t="s">
        <v>820</v>
      </c>
      <c r="C142" s="11" t="s">
        <v>438</v>
      </c>
      <c r="D142" s="220" t="s">
        <v>795</v>
      </c>
      <c r="E142" s="11" t="s">
        <v>10</v>
      </c>
      <c r="F142" s="10">
        <f>F141*0.5</f>
        <v>1.6799999999999997</v>
      </c>
      <c r="G142" s="305" t="s">
        <v>798</v>
      </c>
      <c r="H142" s="306"/>
    </row>
    <row r="143" spans="1:9" ht="35.25" customHeight="1">
      <c r="A143" s="11" t="s">
        <v>182</v>
      </c>
      <c r="B143" s="11" t="s">
        <v>820</v>
      </c>
      <c r="C143" s="169" t="s">
        <v>19</v>
      </c>
      <c r="D143" s="181" t="s">
        <v>796</v>
      </c>
      <c r="E143" s="14" t="s">
        <v>9</v>
      </c>
      <c r="F143" s="182">
        <f>12*0.7</f>
        <v>8.3999999999999986</v>
      </c>
      <c r="G143" s="305" t="s">
        <v>799</v>
      </c>
      <c r="H143" s="306"/>
    </row>
    <row r="144" spans="1:9" ht="28.5" customHeight="1">
      <c r="A144" s="11" t="s">
        <v>183</v>
      </c>
      <c r="B144" s="11" t="s">
        <v>820</v>
      </c>
      <c r="C144" s="250" t="s">
        <v>290</v>
      </c>
      <c r="D144" s="258" t="s">
        <v>793</v>
      </c>
      <c r="E144" s="250" t="s">
        <v>10</v>
      </c>
      <c r="F144" s="251">
        <f>12*0.7*0.05</f>
        <v>0.41999999999999993</v>
      </c>
      <c r="G144" s="305" t="s">
        <v>800</v>
      </c>
      <c r="H144" s="306"/>
    </row>
    <row r="145" spans="1:8">
      <c r="A145" s="11"/>
      <c r="B145" s="11"/>
      <c r="C145" s="250"/>
      <c r="D145" s="258"/>
      <c r="E145" s="259"/>
      <c r="F145" s="251"/>
      <c r="G145" s="305"/>
      <c r="H145" s="306"/>
    </row>
    <row r="146" spans="1:8">
      <c r="A146" s="22">
        <v>2</v>
      </c>
      <c r="B146" s="164"/>
      <c r="C146" s="165"/>
      <c r="D146" s="179" t="s">
        <v>782</v>
      </c>
      <c r="E146" s="247"/>
      <c r="F146" s="167"/>
      <c r="G146" s="312"/>
      <c r="H146" s="313"/>
    </row>
    <row r="147" spans="1:8" ht="35.25" customHeight="1">
      <c r="A147" s="11" t="s">
        <v>63</v>
      </c>
      <c r="B147" s="11" t="s">
        <v>820</v>
      </c>
      <c r="C147" s="30" t="s">
        <v>724</v>
      </c>
      <c r="D147" s="31" t="s">
        <v>723</v>
      </c>
      <c r="E147" s="25" t="s">
        <v>9</v>
      </c>
      <c r="F147" s="10">
        <v>95.1</v>
      </c>
      <c r="G147" s="305" t="s">
        <v>770</v>
      </c>
      <c r="H147" s="306"/>
    </row>
    <row r="148" spans="1:8" ht="35.25" customHeight="1">
      <c r="A148" s="11" t="s">
        <v>64</v>
      </c>
      <c r="B148" s="11" t="s">
        <v>820</v>
      </c>
      <c r="C148" s="30" t="s">
        <v>718</v>
      </c>
      <c r="D148" s="31" t="s">
        <v>717</v>
      </c>
      <c r="E148" s="25" t="s">
        <v>10</v>
      </c>
      <c r="F148" s="10">
        <f>(292.53*1)/2</f>
        <v>146.26499999999999</v>
      </c>
      <c r="G148" s="305" t="s">
        <v>839</v>
      </c>
      <c r="H148" s="306"/>
    </row>
    <row r="149" spans="1:8" ht="35.25" customHeight="1">
      <c r="A149" s="11" t="s">
        <v>146</v>
      </c>
      <c r="B149" s="11" t="s">
        <v>820</v>
      </c>
      <c r="C149" s="30" t="s">
        <v>19</v>
      </c>
      <c r="D149" s="31" t="s">
        <v>62</v>
      </c>
      <c r="E149" s="25" t="s">
        <v>9</v>
      </c>
      <c r="F149" s="10">
        <f>168.35</f>
        <v>168.35</v>
      </c>
      <c r="G149" s="305" t="s">
        <v>840</v>
      </c>
      <c r="H149" s="306"/>
    </row>
    <row r="150" spans="1:8" ht="35.25" customHeight="1">
      <c r="A150" s="11" t="s">
        <v>147</v>
      </c>
      <c r="B150" s="11" t="s">
        <v>820</v>
      </c>
      <c r="C150" s="250" t="s">
        <v>276</v>
      </c>
      <c r="D150" s="220" t="s">
        <v>760</v>
      </c>
      <c r="E150" s="250" t="s">
        <v>10</v>
      </c>
      <c r="F150" s="251">
        <f>(4+4+4+4+4+4.6+4.6+11.71+18.07)*0.2*0.3</f>
        <v>3.5388000000000002</v>
      </c>
      <c r="G150" s="305" t="s">
        <v>771</v>
      </c>
      <c r="H150" s="306"/>
    </row>
    <row r="151" spans="1:8" ht="35.25" customHeight="1">
      <c r="A151" s="11" t="s">
        <v>311</v>
      </c>
      <c r="B151" s="11" t="s">
        <v>820</v>
      </c>
      <c r="C151" s="250" t="s">
        <v>438</v>
      </c>
      <c r="D151" s="220" t="s">
        <v>763</v>
      </c>
      <c r="E151" s="250" t="s">
        <v>10</v>
      </c>
      <c r="F151" s="251">
        <f>(4+4+4+4+4+4.6+4.6+11.71+18.07)*0.03*0.2</f>
        <v>0.35388000000000003</v>
      </c>
      <c r="G151" s="305" t="s">
        <v>772</v>
      </c>
      <c r="H151" s="306"/>
    </row>
    <row r="152" spans="1:8" ht="35.25" customHeight="1">
      <c r="A152" s="11" t="s">
        <v>312</v>
      </c>
      <c r="B152" s="11" t="s">
        <v>820</v>
      </c>
      <c r="C152" s="250" t="s">
        <v>758</v>
      </c>
      <c r="D152" s="220" t="s">
        <v>761</v>
      </c>
      <c r="E152" s="250" t="s">
        <v>9</v>
      </c>
      <c r="F152" s="251">
        <f>(11.71+18.07)*0.4</f>
        <v>11.912000000000001</v>
      </c>
      <c r="G152" s="305" t="s">
        <v>773</v>
      </c>
      <c r="H152" s="306"/>
    </row>
    <row r="153" spans="1:8" ht="35.25" customHeight="1">
      <c r="A153" s="11" t="s">
        <v>313</v>
      </c>
      <c r="B153" s="11" t="s">
        <v>820</v>
      </c>
      <c r="C153" s="250" t="s">
        <v>330</v>
      </c>
      <c r="D153" s="220" t="s">
        <v>762</v>
      </c>
      <c r="E153" s="250" t="s">
        <v>9</v>
      </c>
      <c r="F153" s="251">
        <f>(4+4+4+4+4+4.6+4.6)*0.4</f>
        <v>11.680000000000001</v>
      </c>
      <c r="G153" s="305" t="s">
        <v>774</v>
      </c>
      <c r="H153" s="306"/>
    </row>
    <row r="154" spans="1:8" ht="35.25" customHeight="1">
      <c r="A154" s="11" t="s">
        <v>314</v>
      </c>
      <c r="B154" s="11" t="s">
        <v>820</v>
      </c>
      <c r="C154" s="250" t="s">
        <v>305</v>
      </c>
      <c r="D154" s="220" t="s">
        <v>759</v>
      </c>
      <c r="E154" s="250" t="s">
        <v>10</v>
      </c>
      <c r="F154" s="251">
        <f>(4+4+4+4+4+4.6+4.6+11.71+18.07)*0.12*0.2</f>
        <v>1.4155200000000001</v>
      </c>
      <c r="G154" s="305" t="s">
        <v>841</v>
      </c>
      <c r="H154" s="306"/>
    </row>
    <row r="155" spans="1:8" ht="35.25" customHeight="1">
      <c r="A155" s="11" t="s">
        <v>317</v>
      </c>
      <c r="B155" s="11" t="s">
        <v>820</v>
      </c>
      <c r="C155" s="11" t="s">
        <v>306</v>
      </c>
      <c r="D155" s="15" t="s">
        <v>308</v>
      </c>
      <c r="E155" s="11" t="s">
        <v>10</v>
      </c>
      <c r="F155" s="175">
        <f>F154</f>
        <v>1.4155200000000001</v>
      </c>
      <c r="G155" s="305" t="s">
        <v>841</v>
      </c>
      <c r="H155" s="306"/>
    </row>
    <row r="156" spans="1:8" ht="35.25" customHeight="1">
      <c r="A156" s="11" t="s">
        <v>341</v>
      </c>
      <c r="B156" s="11" t="s">
        <v>820</v>
      </c>
      <c r="C156" s="11" t="s">
        <v>722</v>
      </c>
      <c r="D156" s="15" t="s">
        <v>725</v>
      </c>
      <c r="E156" s="11" t="s">
        <v>9</v>
      </c>
      <c r="F156" s="10">
        <f>(12.49+4+18.07+4)*0.05</f>
        <v>1.9280000000000002</v>
      </c>
      <c r="G156" s="305" t="s">
        <v>775</v>
      </c>
      <c r="H156" s="306"/>
    </row>
    <row r="157" spans="1:8" ht="35.25" customHeight="1">
      <c r="A157" s="11" t="s">
        <v>342</v>
      </c>
      <c r="B157" s="11" t="s">
        <v>820</v>
      </c>
      <c r="C157" s="30" t="s">
        <v>21</v>
      </c>
      <c r="D157" s="31" t="s">
        <v>20</v>
      </c>
      <c r="E157" s="25" t="s">
        <v>9</v>
      </c>
      <c r="F157" s="10">
        <v>95.1</v>
      </c>
      <c r="G157" s="305" t="s">
        <v>776</v>
      </c>
      <c r="H157" s="306"/>
    </row>
    <row r="158" spans="1:8" ht="35.25" customHeight="1">
      <c r="A158" s="11" t="s">
        <v>343</v>
      </c>
      <c r="B158" s="11" t="s">
        <v>820</v>
      </c>
      <c r="C158" s="30" t="s">
        <v>508</v>
      </c>
      <c r="D158" s="15" t="s">
        <v>509</v>
      </c>
      <c r="E158" s="30" t="s">
        <v>9</v>
      </c>
      <c r="F158" s="171">
        <v>1.85</v>
      </c>
      <c r="G158" s="305" t="s">
        <v>777</v>
      </c>
      <c r="H158" s="306"/>
    </row>
    <row r="159" spans="1:8" ht="35.25" customHeight="1">
      <c r="A159" s="11" t="s">
        <v>344</v>
      </c>
      <c r="B159" s="11" t="s">
        <v>820</v>
      </c>
      <c r="C159" s="11" t="s">
        <v>331</v>
      </c>
      <c r="D159" s="15" t="s">
        <v>719</v>
      </c>
      <c r="E159" s="25" t="s">
        <v>293</v>
      </c>
      <c r="F159" s="10">
        <f>39*1.2*3.7</f>
        <v>173.16</v>
      </c>
      <c r="G159" s="305" t="s">
        <v>836</v>
      </c>
      <c r="H159" s="306"/>
    </row>
    <row r="160" spans="1:8" ht="35.25" customHeight="1">
      <c r="A160" s="11" t="s">
        <v>345</v>
      </c>
      <c r="B160" s="11" t="s">
        <v>820</v>
      </c>
      <c r="C160" s="11" t="s">
        <v>331</v>
      </c>
      <c r="D160" s="15" t="s">
        <v>726</v>
      </c>
      <c r="E160" s="25" t="s">
        <v>293</v>
      </c>
      <c r="F160" s="10">
        <f>(11.88+4+17.91+4)*2.79</f>
        <v>105.4341</v>
      </c>
      <c r="G160" s="305" t="s">
        <v>849</v>
      </c>
      <c r="H160" s="306"/>
    </row>
    <row r="161" spans="1:8" ht="35.25" customHeight="1">
      <c r="A161" s="11" t="s">
        <v>414</v>
      </c>
      <c r="B161" s="11" t="s">
        <v>820</v>
      </c>
      <c r="C161" s="11" t="s">
        <v>331</v>
      </c>
      <c r="D161" s="15" t="s">
        <v>727</v>
      </c>
      <c r="E161" s="25" t="s">
        <v>293</v>
      </c>
      <c r="F161" s="10">
        <f>(11.88+4+17.91+4)*5*1.86</f>
        <v>351.447</v>
      </c>
      <c r="G161" s="305" t="s">
        <v>850</v>
      </c>
      <c r="H161" s="306"/>
    </row>
    <row r="162" spans="1:8" ht="35.25" customHeight="1">
      <c r="A162" s="11" t="s">
        <v>415</v>
      </c>
      <c r="B162" s="11" t="s">
        <v>820</v>
      </c>
      <c r="C162" s="11" t="s">
        <v>331</v>
      </c>
      <c r="D162" s="15" t="s">
        <v>728</v>
      </c>
      <c r="E162" s="25" t="s">
        <v>293</v>
      </c>
      <c r="F162" s="10">
        <f>(((11.88+4+17.91+4)*2)+(0.4*8))*2.79</f>
        <v>219.7962</v>
      </c>
      <c r="G162" s="305" t="s">
        <v>851</v>
      </c>
      <c r="H162" s="306"/>
    </row>
    <row r="163" spans="1:8" ht="35.25" customHeight="1">
      <c r="A163" s="11" t="s">
        <v>416</v>
      </c>
      <c r="B163" s="11" t="s">
        <v>820</v>
      </c>
      <c r="C163" s="11" t="s">
        <v>51</v>
      </c>
      <c r="D163" s="15" t="s">
        <v>729</v>
      </c>
      <c r="E163" s="25" t="s">
        <v>9</v>
      </c>
      <c r="F163" s="10">
        <f>(11.88+4+17.91+4)*1.1</f>
        <v>41.569000000000003</v>
      </c>
      <c r="G163" s="305" t="s">
        <v>852</v>
      </c>
      <c r="H163" s="306"/>
    </row>
    <row r="164" spans="1:8" ht="35.25" customHeight="1">
      <c r="A164" s="11" t="s">
        <v>635</v>
      </c>
      <c r="B164" s="11" t="s">
        <v>820</v>
      </c>
      <c r="C164" s="11" t="s">
        <v>730</v>
      </c>
      <c r="D164" s="15" t="s">
        <v>755</v>
      </c>
      <c r="E164" s="25" t="s">
        <v>9</v>
      </c>
      <c r="F164" s="10">
        <v>161</v>
      </c>
      <c r="G164" s="305" t="s">
        <v>778</v>
      </c>
      <c r="H164" s="306"/>
    </row>
    <row r="165" spans="1:8">
      <c r="A165" s="239"/>
      <c r="B165" s="28"/>
      <c r="C165" s="240"/>
      <c r="D165" s="174"/>
      <c r="E165" s="175"/>
      <c r="F165" s="175"/>
      <c r="G165" s="305"/>
      <c r="H165" s="306"/>
    </row>
    <row r="166" spans="1:8">
      <c r="A166" s="164" t="s">
        <v>423</v>
      </c>
      <c r="B166" s="164"/>
      <c r="C166" s="165"/>
      <c r="D166" s="166" t="s">
        <v>604</v>
      </c>
      <c r="E166" s="167"/>
      <c r="F166" s="167"/>
      <c r="G166" s="312"/>
      <c r="H166" s="313"/>
    </row>
    <row r="167" spans="1:8">
      <c r="A167" s="164">
        <v>1</v>
      </c>
      <c r="B167" s="164"/>
      <c r="C167" s="165"/>
      <c r="D167" s="166" t="s">
        <v>32</v>
      </c>
      <c r="E167" s="167"/>
      <c r="F167" s="167"/>
      <c r="G167" s="248"/>
      <c r="H167" s="249"/>
    </row>
    <row r="168" spans="1:8" ht="43.5">
      <c r="A168" s="14" t="s">
        <v>43</v>
      </c>
      <c r="B168" s="11" t="s">
        <v>820</v>
      </c>
      <c r="C168" s="30" t="s">
        <v>275</v>
      </c>
      <c r="D168" s="31" t="s">
        <v>606</v>
      </c>
      <c r="E168" s="30" t="s">
        <v>9</v>
      </c>
      <c r="F168" s="147">
        <f>8*13</f>
        <v>104</v>
      </c>
      <c r="G168" s="305" t="s">
        <v>644</v>
      </c>
      <c r="H168" s="306"/>
    </row>
    <row r="169" spans="1:8" ht="35.25" customHeight="1">
      <c r="A169" s="14" t="s">
        <v>44</v>
      </c>
      <c r="B169" s="11" t="s">
        <v>820</v>
      </c>
      <c r="C169" s="30" t="s">
        <v>320</v>
      </c>
      <c r="D169" s="2" t="s">
        <v>319</v>
      </c>
      <c r="E169" s="30" t="s">
        <v>9</v>
      </c>
      <c r="F169" s="147">
        <v>52.11</v>
      </c>
      <c r="G169" s="305" t="s">
        <v>645</v>
      </c>
      <c r="H169" s="306"/>
    </row>
    <row r="170" spans="1:8" ht="35.25" customHeight="1">
      <c r="A170" s="14" t="s">
        <v>45</v>
      </c>
      <c r="B170" s="11" t="s">
        <v>820</v>
      </c>
      <c r="C170" s="11" t="s">
        <v>693</v>
      </c>
      <c r="D170" s="15" t="s">
        <v>689</v>
      </c>
      <c r="E170" s="11" t="s">
        <v>691</v>
      </c>
      <c r="F170" s="10">
        <f>6*5</f>
        <v>30</v>
      </c>
      <c r="G170" s="305" t="s">
        <v>842</v>
      </c>
      <c r="H170" s="306"/>
    </row>
    <row r="171" spans="1:8" ht="35.25" customHeight="1">
      <c r="A171" s="14" t="s">
        <v>135</v>
      </c>
      <c r="B171" s="11" t="s">
        <v>820</v>
      </c>
      <c r="C171" s="11" t="s">
        <v>692</v>
      </c>
      <c r="D171" s="15" t="s">
        <v>690</v>
      </c>
      <c r="E171" s="11" t="s">
        <v>150</v>
      </c>
      <c r="F171" s="10">
        <v>6</v>
      </c>
      <c r="G171" s="305" t="s">
        <v>698</v>
      </c>
      <c r="H171" s="306"/>
    </row>
    <row r="172" spans="1:8" ht="35.25" customHeight="1">
      <c r="A172" s="14" t="s">
        <v>174</v>
      </c>
      <c r="B172" s="11" t="s">
        <v>820</v>
      </c>
      <c r="C172" s="11" t="s">
        <v>736</v>
      </c>
      <c r="D172" s="15" t="s">
        <v>735</v>
      </c>
      <c r="E172" s="11" t="s">
        <v>737</v>
      </c>
      <c r="F172" s="10">
        <v>5</v>
      </c>
      <c r="G172" s="305" t="s">
        <v>738</v>
      </c>
      <c r="H172" s="306"/>
    </row>
    <row r="173" spans="1:8">
      <c r="A173" s="239"/>
      <c r="B173" s="11"/>
      <c r="C173" s="240"/>
      <c r="D173" s="174"/>
      <c r="E173" s="175"/>
      <c r="F173" s="175"/>
      <c r="G173" s="305"/>
      <c r="H173" s="306"/>
    </row>
    <row r="174" spans="1:8">
      <c r="A174" s="213">
        <v>2</v>
      </c>
      <c r="B174" s="214"/>
      <c r="C174" s="214"/>
      <c r="D174" s="217" t="s">
        <v>424</v>
      </c>
      <c r="E174" s="214"/>
      <c r="F174" s="214"/>
      <c r="G174" s="317"/>
      <c r="H174" s="318"/>
    </row>
    <row r="175" spans="1:8" ht="36" customHeight="1">
      <c r="A175" s="14" t="s">
        <v>63</v>
      </c>
      <c r="B175" s="11" t="s">
        <v>820</v>
      </c>
      <c r="C175" s="11" t="s">
        <v>425</v>
      </c>
      <c r="D175" s="15" t="s">
        <v>607</v>
      </c>
      <c r="E175" s="11" t="s">
        <v>10</v>
      </c>
      <c r="F175" s="10">
        <f>(0.7*0.7*0.65*10)+(0.8*0.8*0.65*2)</f>
        <v>4.0169999999999995</v>
      </c>
      <c r="G175" s="314" t="s">
        <v>641</v>
      </c>
      <c r="H175" s="315"/>
    </row>
    <row r="176" spans="1:8" ht="29.25">
      <c r="A176" s="14" t="s">
        <v>64</v>
      </c>
      <c r="B176" s="11" t="s">
        <v>820</v>
      </c>
      <c r="C176" s="11" t="s">
        <v>605</v>
      </c>
      <c r="D176" s="15" t="s">
        <v>608</v>
      </c>
      <c r="E176" s="11" t="s">
        <v>10</v>
      </c>
      <c r="F176" s="10">
        <f>((4*4)+(3.2*2)+(3.28)+10.33+2.2)*0.3*0.35</f>
        <v>4.0120499999999995</v>
      </c>
      <c r="G176" s="314" t="s">
        <v>642</v>
      </c>
      <c r="H176" s="315"/>
    </row>
    <row r="177" spans="1:8">
      <c r="A177" s="14" t="s">
        <v>146</v>
      </c>
      <c r="B177" s="11" t="s">
        <v>820</v>
      </c>
      <c r="C177" s="11" t="s">
        <v>309</v>
      </c>
      <c r="D177" s="15" t="s">
        <v>426</v>
      </c>
      <c r="E177" s="11" t="s">
        <v>150</v>
      </c>
      <c r="F177" s="10">
        <f>14*3</f>
        <v>42</v>
      </c>
      <c r="G177" s="314" t="s">
        <v>643</v>
      </c>
      <c r="H177" s="315"/>
    </row>
    <row r="178" spans="1:8" ht="49.5" customHeight="1">
      <c r="A178" s="14" t="s">
        <v>147</v>
      </c>
      <c r="B178" s="11" t="s">
        <v>820</v>
      </c>
      <c r="C178" s="11" t="s">
        <v>632</v>
      </c>
      <c r="D178" s="15" t="s">
        <v>646</v>
      </c>
      <c r="E178" s="11" t="s">
        <v>10</v>
      </c>
      <c r="F178" s="10">
        <f>((0.7*0.7*10)+(0.8*0.8*2))*0.03+(38.21*0.3*0.03)</f>
        <v>0.52928999999999993</v>
      </c>
      <c r="G178" s="314" t="s">
        <v>647</v>
      </c>
      <c r="H178" s="315"/>
    </row>
    <row r="179" spans="1:8" ht="34.5" customHeight="1">
      <c r="A179" s="14" t="s">
        <v>311</v>
      </c>
      <c r="B179" s="11" t="s">
        <v>820</v>
      </c>
      <c r="C179" s="11" t="s">
        <v>329</v>
      </c>
      <c r="D179" s="15" t="s">
        <v>427</v>
      </c>
      <c r="E179" s="11" t="s">
        <v>10</v>
      </c>
      <c r="F179" s="10">
        <f>(0.7*0.7*0.35*10)+(0.8*0.8*0.35*2)</f>
        <v>2.1629999999999998</v>
      </c>
      <c r="G179" s="314" t="s">
        <v>648</v>
      </c>
      <c r="H179" s="315"/>
    </row>
    <row r="180" spans="1:8" ht="29.25">
      <c r="A180" s="14" t="s">
        <v>312</v>
      </c>
      <c r="B180" s="11" t="s">
        <v>820</v>
      </c>
      <c r="C180" s="11" t="s">
        <v>306</v>
      </c>
      <c r="D180" s="15" t="s">
        <v>428</v>
      </c>
      <c r="E180" s="11" t="s">
        <v>10</v>
      </c>
      <c r="F180" s="10">
        <f>F179</f>
        <v>2.1629999999999998</v>
      </c>
      <c r="G180" s="314" t="s">
        <v>648</v>
      </c>
      <c r="H180" s="315"/>
    </row>
    <row r="181" spans="1:8" ht="39" customHeight="1">
      <c r="A181" s="14" t="s">
        <v>313</v>
      </c>
      <c r="B181" s="11" t="s">
        <v>820</v>
      </c>
      <c r="C181" s="11" t="s">
        <v>307</v>
      </c>
      <c r="D181" s="15" t="s">
        <v>429</v>
      </c>
      <c r="E181" s="11" t="s">
        <v>430</v>
      </c>
      <c r="F181" s="10">
        <f>(7.68*2*10)*0.25</f>
        <v>38.4</v>
      </c>
      <c r="G181" s="314" t="s">
        <v>649</v>
      </c>
      <c r="H181" s="315"/>
    </row>
    <row r="182" spans="1:8" ht="48.75" customHeight="1">
      <c r="A182" s="14" t="s">
        <v>314</v>
      </c>
      <c r="B182" s="11" t="s">
        <v>820</v>
      </c>
      <c r="C182" s="11" t="s">
        <v>292</v>
      </c>
      <c r="D182" s="15" t="s">
        <v>609</v>
      </c>
      <c r="E182" s="11" t="s">
        <v>430</v>
      </c>
      <c r="F182" s="10">
        <f>(9.54*2*2)*0.4+(0.4+4*1.5*12)*0.56</f>
        <v>55.808000000000007</v>
      </c>
      <c r="G182" s="314" t="s">
        <v>650</v>
      </c>
      <c r="H182" s="315"/>
    </row>
    <row r="183" spans="1:8" ht="31.5" customHeight="1">
      <c r="A183" s="14" t="s">
        <v>317</v>
      </c>
      <c r="B183" s="11" t="s">
        <v>820</v>
      </c>
      <c r="C183" s="11" t="s">
        <v>329</v>
      </c>
      <c r="D183" s="15" t="s">
        <v>431</v>
      </c>
      <c r="E183" s="11" t="s">
        <v>10</v>
      </c>
      <c r="F183" s="10">
        <f>((4*4)+(3.2*2)+(3.28)+10.33+2.2)*0.2*0.3</f>
        <v>2.2926000000000002</v>
      </c>
      <c r="G183" s="314" t="s">
        <v>651</v>
      </c>
      <c r="H183" s="315"/>
    </row>
    <row r="184" spans="1:8" ht="29.25">
      <c r="A184" s="14" t="s">
        <v>341</v>
      </c>
      <c r="B184" s="11" t="s">
        <v>820</v>
      </c>
      <c r="C184" s="11" t="s">
        <v>306</v>
      </c>
      <c r="D184" s="15" t="s">
        <v>432</v>
      </c>
      <c r="E184" s="11" t="s">
        <v>10</v>
      </c>
      <c r="F184" s="10">
        <f>F183</f>
        <v>2.2926000000000002</v>
      </c>
      <c r="G184" s="314" t="s">
        <v>651</v>
      </c>
      <c r="H184" s="315"/>
    </row>
    <row r="185" spans="1:8" ht="45.75" customHeight="1">
      <c r="A185" s="14" t="s">
        <v>342</v>
      </c>
      <c r="B185" s="11" t="s">
        <v>820</v>
      </c>
      <c r="C185" s="11" t="s">
        <v>292</v>
      </c>
      <c r="D185" s="15" t="s">
        <v>433</v>
      </c>
      <c r="E185" s="11" t="s">
        <v>430</v>
      </c>
      <c r="F185" s="10">
        <f>((4*4)+(3.2*2)+(3.28)+10.33+2.2)*4*0.56+(38.21*0.4)</f>
        <v>100.87440000000002</v>
      </c>
      <c r="G185" s="314" t="s">
        <v>652</v>
      </c>
      <c r="H185" s="315"/>
    </row>
    <row r="186" spans="1:8" ht="34.5" customHeight="1">
      <c r="A186" s="14" t="s">
        <v>343</v>
      </c>
      <c r="B186" s="11" t="s">
        <v>820</v>
      </c>
      <c r="C186" s="11" t="s">
        <v>307</v>
      </c>
      <c r="D186" s="15" t="s">
        <v>434</v>
      </c>
      <c r="E186" s="11" t="s">
        <v>430</v>
      </c>
      <c r="F186" s="10">
        <f>(38.21/0.15)*0.95*0.2</f>
        <v>48.399333333333338</v>
      </c>
      <c r="G186" s="314" t="s">
        <v>653</v>
      </c>
      <c r="H186" s="315"/>
    </row>
    <row r="187" spans="1:8" ht="38.25" customHeight="1">
      <c r="A187" s="14" t="s">
        <v>344</v>
      </c>
      <c r="B187" s="11" t="s">
        <v>820</v>
      </c>
      <c r="C187" s="11" t="s">
        <v>330</v>
      </c>
      <c r="D187" s="15" t="s">
        <v>435</v>
      </c>
      <c r="E187" s="11" t="s">
        <v>9</v>
      </c>
      <c r="F187" s="10">
        <f>38.21*0.6</f>
        <v>22.925999999999998</v>
      </c>
      <c r="G187" s="314" t="s">
        <v>654</v>
      </c>
      <c r="H187" s="315"/>
    </row>
    <row r="188" spans="1:8" ht="29.25">
      <c r="A188" s="14" t="s">
        <v>345</v>
      </c>
      <c r="B188" s="11" t="s">
        <v>820</v>
      </c>
      <c r="C188" s="11" t="s">
        <v>244</v>
      </c>
      <c r="D188" s="15" t="s">
        <v>436</v>
      </c>
      <c r="E188" s="11" t="s">
        <v>9</v>
      </c>
      <c r="F188" s="10">
        <f>38.21*1.1</f>
        <v>42.031000000000006</v>
      </c>
      <c r="G188" s="314" t="s">
        <v>655</v>
      </c>
      <c r="H188" s="315"/>
    </row>
    <row r="189" spans="1:8" ht="29.25">
      <c r="A189" s="14" t="s">
        <v>414</v>
      </c>
      <c r="B189" s="11" t="s">
        <v>820</v>
      </c>
      <c r="C189" s="11" t="s">
        <v>247</v>
      </c>
      <c r="D189" s="15" t="s">
        <v>437</v>
      </c>
      <c r="E189" s="11" t="s">
        <v>10</v>
      </c>
      <c r="F189" s="10">
        <f>F188*0.02</f>
        <v>0.84062000000000014</v>
      </c>
      <c r="G189" s="314" t="s">
        <v>656</v>
      </c>
      <c r="H189" s="315"/>
    </row>
    <row r="190" spans="1:8" ht="48.75" customHeight="1">
      <c r="A190" s="14" t="s">
        <v>415</v>
      </c>
      <c r="B190" s="11" t="s">
        <v>820</v>
      </c>
      <c r="C190" s="11" t="s">
        <v>438</v>
      </c>
      <c r="D190" s="15" t="s">
        <v>439</v>
      </c>
      <c r="E190" s="11" t="s">
        <v>10</v>
      </c>
      <c r="F190" s="10">
        <f>(12.82+12.82+12.12+3.38+3.38)*0.15+(0.7*0.7*10*0.3)+(0.8*0.8*2*0.3)</f>
        <v>8.532</v>
      </c>
      <c r="G190" s="314" t="s">
        <v>657</v>
      </c>
      <c r="H190" s="315"/>
    </row>
    <row r="191" spans="1:8" ht="36.75" customHeight="1">
      <c r="A191" s="14" t="s">
        <v>416</v>
      </c>
      <c r="B191" s="11" t="s">
        <v>820</v>
      </c>
      <c r="C191" s="11" t="s">
        <v>440</v>
      </c>
      <c r="D191" s="15" t="s">
        <v>441</v>
      </c>
      <c r="E191" s="11" t="s">
        <v>10</v>
      </c>
      <c r="F191" s="10">
        <f>38.21*0.15*0.2</f>
        <v>1.1462999999999999</v>
      </c>
      <c r="G191" s="314" t="s">
        <v>658</v>
      </c>
      <c r="H191" s="315"/>
    </row>
    <row r="192" spans="1:8">
      <c r="A192" s="241"/>
      <c r="B192" s="242"/>
      <c r="C192" s="242"/>
      <c r="D192" s="244"/>
      <c r="E192" s="243"/>
      <c r="F192" s="243"/>
      <c r="G192" s="341"/>
      <c r="H192" s="342"/>
    </row>
    <row r="193" spans="1:8">
      <c r="A193" s="213">
        <v>3</v>
      </c>
      <c r="B193" s="214"/>
      <c r="C193" s="214"/>
      <c r="D193" s="214" t="s">
        <v>442</v>
      </c>
      <c r="E193" s="214"/>
      <c r="F193" s="214"/>
      <c r="G193" s="317"/>
      <c r="H193" s="318"/>
    </row>
    <row r="194" spans="1:8" ht="44.25" customHeight="1">
      <c r="A194" s="30" t="s">
        <v>65</v>
      </c>
      <c r="B194" s="11" t="s">
        <v>820</v>
      </c>
      <c r="C194" s="11" t="s">
        <v>329</v>
      </c>
      <c r="D194" s="15" t="s">
        <v>443</v>
      </c>
      <c r="E194" s="11" t="s">
        <v>10</v>
      </c>
      <c r="F194" s="10">
        <f>(0.15*0.25*3*6)+(0.15*0.25*4*6)+(0.15*0.25*2.5*6)</f>
        <v>2.1374999999999997</v>
      </c>
      <c r="G194" s="314" t="s">
        <v>659</v>
      </c>
      <c r="H194" s="315"/>
    </row>
    <row r="195" spans="1:8" ht="45.75" customHeight="1">
      <c r="A195" s="30" t="s">
        <v>66</v>
      </c>
      <c r="B195" s="11" t="s">
        <v>820</v>
      </c>
      <c r="C195" s="11" t="s">
        <v>306</v>
      </c>
      <c r="D195" s="15" t="s">
        <v>444</v>
      </c>
      <c r="E195" s="11" t="s">
        <v>10</v>
      </c>
      <c r="F195" s="10">
        <f>F194</f>
        <v>2.1374999999999997</v>
      </c>
      <c r="G195" s="314" t="s">
        <v>659</v>
      </c>
      <c r="H195" s="315"/>
    </row>
    <row r="196" spans="1:8" ht="22.5" customHeight="1">
      <c r="A196" s="30" t="s">
        <v>67</v>
      </c>
      <c r="B196" s="11" t="s">
        <v>820</v>
      </c>
      <c r="C196" s="11" t="s">
        <v>310</v>
      </c>
      <c r="D196" s="15" t="s">
        <v>445</v>
      </c>
      <c r="E196" s="11" t="s">
        <v>9</v>
      </c>
      <c r="F196" s="10">
        <f>(3*3*12)*0.3</f>
        <v>32.4</v>
      </c>
      <c r="G196" s="314" t="s">
        <v>660</v>
      </c>
      <c r="H196" s="315"/>
    </row>
    <row r="197" spans="1:8" ht="47.25" customHeight="1">
      <c r="A197" s="30" t="s">
        <v>68</v>
      </c>
      <c r="B197" s="11" t="s">
        <v>820</v>
      </c>
      <c r="C197" s="11" t="s">
        <v>292</v>
      </c>
      <c r="D197" s="15" t="s">
        <v>446</v>
      </c>
      <c r="E197" s="11" t="s">
        <v>430</v>
      </c>
      <c r="F197" s="10">
        <f>(4*4*3)*0.56+(6*4*6)*0.56+(6*3*2)*0.56+(4*2.5*6)</f>
        <v>187.68</v>
      </c>
      <c r="G197" s="314" t="s">
        <v>661</v>
      </c>
      <c r="H197" s="315"/>
    </row>
    <row r="198" spans="1:8" ht="43.5" customHeight="1">
      <c r="A198" s="30" t="s">
        <v>69</v>
      </c>
      <c r="B198" s="11" t="s">
        <v>820</v>
      </c>
      <c r="C198" s="11" t="s">
        <v>307</v>
      </c>
      <c r="D198" s="15" t="s">
        <v>447</v>
      </c>
      <c r="E198" s="11" t="s">
        <v>430</v>
      </c>
      <c r="F198" s="10">
        <f>((12*3/0.12)*0.75*0.2)+18.5</f>
        <v>63.5</v>
      </c>
      <c r="G198" s="314" t="s">
        <v>662</v>
      </c>
      <c r="H198" s="315"/>
    </row>
    <row r="199" spans="1:8" ht="55.5" customHeight="1">
      <c r="A199" s="30" t="s">
        <v>321</v>
      </c>
      <c r="B199" s="11" t="s">
        <v>820</v>
      </c>
      <c r="C199" s="11" t="s">
        <v>448</v>
      </c>
      <c r="D199" s="15" t="s">
        <v>449</v>
      </c>
      <c r="E199" s="11" t="s">
        <v>10</v>
      </c>
      <c r="F199" s="10">
        <f>(4+4+3.5+13.5+1.8+1.8)*0.15*0.2+(4+4+3.5)*0.2*0.15</f>
        <v>1.2030000000000001</v>
      </c>
      <c r="G199" s="314" t="s">
        <v>663</v>
      </c>
      <c r="H199" s="315"/>
    </row>
    <row r="200" spans="1:8" ht="48" customHeight="1">
      <c r="A200" s="30" t="s">
        <v>322</v>
      </c>
      <c r="B200" s="11" t="s">
        <v>820</v>
      </c>
      <c r="C200" s="11" t="s">
        <v>329</v>
      </c>
      <c r="D200" s="15" t="s">
        <v>450</v>
      </c>
      <c r="E200" s="11" t="s">
        <v>10</v>
      </c>
      <c r="F200" s="10">
        <f>((10.33+(2*4)+3.28+(3.2*2))*0.15*0.25)+(((6.26*2)+3.28)*0.15*0.35)</f>
        <v>1.8798749999999997</v>
      </c>
      <c r="G200" s="314" t="s">
        <v>664</v>
      </c>
      <c r="H200" s="315"/>
    </row>
    <row r="201" spans="1:8" ht="51.75" customHeight="1">
      <c r="A201" s="30" t="s">
        <v>323</v>
      </c>
      <c r="B201" s="11" t="s">
        <v>820</v>
      </c>
      <c r="C201" s="11" t="s">
        <v>306</v>
      </c>
      <c r="D201" s="15" t="s">
        <v>451</v>
      </c>
      <c r="E201" s="11" t="s">
        <v>10</v>
      </c>
      <c r="F201" s="10">
        <f>F200</f>
        <v>1.8798749999999997</v>
      </c>
      <c r="G201" s="314" t="s">
        <v>664</v>
      </c>
      <c r="H201" s="315"/>
    </row>
    <row r="202" spans="1:8" ht="51.75" customHeight="1">
      <c r="A202" s="30" t="s">
        <v>324</v>
      </c>
      <c r="B202" s="11" t="s">
        <v>820</v>
      </c>
      <c r="C202" s="11" t="s">
        <v>310</v>
      </c>
      <c r="D202" s="15" t="s">
        <v>452</v>
      </c>
      <c r="E202" s="11" t="s">
        <v>9</v>
      </c>
      <c r="F202" s="10">
        <f>((10.33+(2*4)+3.28+(3.2*2))*0.5)+((6.26*2)+3.28)*0.7</f>
        <v>25.064999999999998</v>
      </c>
      <c r="G202" s="314" t="s">
        <v>665</v>
      </c>
      <c r="H202" s="315"/>
    </row>
    <row r="203" spans="1:8" ht="46.5" customHeight="1">
      <c r="A203" s="30" t="s">
        <v>325</v>
      </c>
      <c r="B203" s="11" t="s">
        <v>820</v>
      </c>
      <c r="C203" s="11" t="s">
        <v>292</v>
      </c>
      <c r="D203" s="15" t="s">
        <v>453</v>
      </c>
      <c r="E203" s="11" t="s">
        <v>430</v>
      </c>
      <c r="F203" s="10">
        <f>(28.01*4*0.56)+(3*12.52*1)+(2*12.52*0.56)+(3.62*5*0.56)</f>
        <v>124.46080000000001</v>
      </c>
      <c r="G203" s="314" t="s">
        <v>666</v>
      </c>
      <c r="H203" s="315"/>
    </row>
    <row r="204" spans="1:8" ht="39.75" customHeight="1">
      <c r="A204" s="30" t="s">
        <v>326</v>
      </c>
      <c r="B204" s="11" t="s">
        <v>820</v>
      </c>
      <c r="C204" s="11" t="s">
        <v>307</v>
      </c>
      <c r="D204" s="15" t="s">
        <v>454</v>
      </c>
      <c r="E204" s="11" t="s">
        <v>430</v>
      </c>
      <c r="F204" s="10">
        <f>(28.01/0.12)*0.75*0.2+(16.14/0.15)*0.85*0.2</f>
        <v>53.304500000000004</v>
      </c>
      <c r="G204" s="314" t="s">
        <v>667</v>
      </c>
      <c r="H204" s="315"/>
    </row>
    <row r="205" spans="1:8" ht="35.25" customHeight="1">
      <c r="A205" s="30" t="s">
        <v>327</v>
      </c>
      <c r="B205" s="11" t="s">
        <v>820</v>
      </c>
      <c r="C205" s="11" t="s">
        <v>455</v>
      </c>
      <c r="D205" s="15" t="s">
        <v>456</v>
      </c>
      <c r="E205" s="11" t="s">
        <v>10</v>
      </c>
      <c r="F205" s="10">
        <f>(32.82*0.05)</f>
        <v>1.641</v>
      </c>
      <c r="G205" s="314" t="s">
        <v>668</v>
      </c>
      <c r="H205" s="315"/>
    </row>
    <row r="206" spans="1:8" ht="29.25">
      <c r="A206" s="30" t="s">
        <v>328</v>
      </c>
      <c r="B206" s="11" t="s">
        <v>820</v>
      </c>
      <c r="C206" s="11" t="s">
        <v>457</v>
      </c>
      <c r="D206" s="15" t="s">
        <v>458</v>
      </c>
      <c r="E206" s="11" t="s">
        <v>9</v>
      </c>
      <c r="F206" s="10">
        <f>39.07</f>
        <v>39.07</v>
      </c>
      <c r="G206" s="314" t="s">
        <v>669</v>
      </c>
      <c r="H206" s="315"/>
    </row>
    <row r="207" spans="1:8" ht="36" customHeight="1">
      <c r="A207" s="30" t="s">
        <v>739</v>
      </c>
      <c r="B207" s="11" t="s">
        <v>820</v>
      </c>
      <c r="C207" s="11" t="s">
        <v>307</v>
      </c>
      <c r="D207" s="15" t="s">
        <v>610</v>
      </c>
      <c r="E207" s="11" t="s">
        <v>430</v>
      </c>
      <c r="F207" s="10">
        <f>(6.25/0.25)*6.25*0.2</f>
        <v>31.25</v>
      </c>
      <c r="G207" s="314" t="s">
        <v>670</v>
      </c>
      <c r="H207" s="315"/>
    </row>
    <row r="208" spans="1:8">
      <c r="A208" s="30" t="s">
        <v>740</v>
      </c>
      <c r="B208" s="11" t="s">
        <v>820</v>
      </c>
      <c r="C208" s="11" t="s">
        <v>310</v>
      </c>
      <c r="D208" s="15" t="s">
        <v>741</v>
      </c>
      <c r="E208" s="11" t="s">
        <v>9</v>
      </c>
      <c r="F208" s="10">
        <f>32.96*0.15</f>
        <v>4.944</v>
      </c>
      <c r="G208" s="314" t="s">
        <v>671</v>
      </c>
      <c r="H208" s="315"/>
    </row>
    <row r="209" spans="1:8">
      <c r="A209" s="245"/>
      <c r="B209" s="28"/>
      <c r="C209" s="28"/>
      <c r="D209" s="15"/>
      <c r="E209" s="11"/>
      <c r="F209" s="10"/>
      <c r="G209" s="314"/>
      <c r="H209" s="315"/>
    </row>
    <row r="210" spans="1:8">
      <c r="A210" s="213">
        <v>4</v>
      </c>
      <c r="B210" s="214"/>
      <c r="C210" s="214"/>
      <c r="D210" s="214" t="s">
        <v>459</v>
      </c>
      <c r="E210" s="214"/>
      <c r="F210" s="214"/>
      <c r="G210" s="317"/>
      <c r="H210" s="318"/>
    </row>
    <row r="211" spans="1:8" ht="31.5" customHeight="1">
      <c r="A211" s="30" t="s">
        <v>50</v>
      </c>
      <c r="B211" s="11" t="s">
        <v>820</v>
      </c>
      <c r="C211" s="11" t="s">
        <v>460</v>
      </c>
      <c r="D211" s="15" t="s">
        <v>461</v>
      </c>
      <c r="E211" s="11" t="s">
        <v>9</v>
      </c>
      <c r="F211" s="10">
        <f>(32.25+2.2+2.2+2.2+2.4)*2.8</f>
        <v>115.50000000000001</v>
      </c>
      <c r="G211" s="314" t="s">
        <v>672</v>
      </c>
      <c r="H211" s="315"/>
    </row>
    <row r="212" spans="1:8" ht="30.75" customHeight="1">
      <c r="A212" s="30" t="s">
        <v>52</v>
      </c>
      <c r="B212" s="11" t="s">
        <v>820</v>
      </c>
      <c r="C212" s="11" t="s">
        <v>462</v>
      </c>
      <c r="D212" s="15" t="s">
        <v>463</v>
      </c>
      <c r="E212" s="11" t="s">
        <v>9</v>
      </c>
      <c r="F212" s="171">
        <f>(0.45*4+0.35*2)*2+1.35*2*4</f>
        <v>15.8</v>
      </c>
      <c r="G212" s="314" t="s">
        <v>673</v>
      </c>
      <c r="H212" s="315"/>
    </row>
    <row r="213" spans="1:8">
      <c r="A213" s="245"/>
      <c r="B213" s="28"/>
      <c r="C213" s="28"/>
      <c r="D213" s="15"/>
      <c r="E213" s="11"/>
      <c r="F213" s="10"/>
      <c r="G213" s="314"/>
      <c r="H213" s="315"/>
    </row>
    <row r="214" spans="1:8">
      <c r="A214" s="213">
        <v>5</v>
      </c>
      <c r="B214" s="214"/>
      <c r="C214" s="214"/>
      <c r="D214" s="214" t="s">
        <v>464</v>
      </c>
      <c r="E214" s="214"/>
      <c r="F214" s="214"/>
      <c r="G214" s="317"/>
      <c r="H214" s="318"/>
    </row>
    <row r="215" spans="1:8" ht="45.75" customHeight="1">
      <c r="A215" s="11" t="s">
        <v>270</v>
      </c>
      <c r="B215" s="11" t="s">
        <v>820</v>
      </c>
      <c r="C215" s="11" t="s">
        <v>822</v>
      </c>
      <c r="D215" s="15" t="s">
        <v>821</v>
      </c>
      <c r="E215" s="11" t="s">
        <v>293</v>
      </c>
      <c r="F215" s="10">
        <f>((3.3*8)+(3.38*8))*4.39</f>
        <v>234.60159999999996</v>
      </c>
      <c r="G215" s="314" t="s">
        <v>832</v>
      </c>
      <c r="H215" s="315"/>
    </row>
    <row r="216" spans="1:8" ht="28.5" customHeight="1">
      <c r="A216" s="30" t="s">
        <v>271</v>
      </c>
      <c r="B216" s="11" t="s">
        <v>820</v>
      </c>
      <c r="C216" s="11" t="s">
        <v>316</v>
      </c>
      <c r="D216" s="15" t="s">
        <v>465</v>
      </c>
      <c r="E216" s="11" t="s">
        <v>9</v>
      </c>
      <c r="F216" s="10">
        <f>47.11</f>
        <v>47.11</v>
      </c>
      <c r="G216" s="314" t="s">
        <v>674</v>
      </c>
      <c r="H216" s="315"/>
    </row>
    <row r="217" spans="1:8" ht="28.5" customHeight="1">
      <c r="A217" s="30" t="s">
        <v>272</v>
      </c>
      <c r="B217" s="11" t="s">
        <v>820</v>
      </c>
      <c r="C217" s="11" t="s">
        <v>466</v>
      </c>
      <c r="D217" s="15" t="s">
        <v>467</v>
      </c>
      <c r="E217" s="11" t="s">
        <v>150</v>
      </c>
      <c r="F217" s="10">
        <f>41.45+3.28</f>
        <v>44.730000000000004</v>
      </c>
      <c r="G217" s="314" t="s">
        <v>675</v>
      </c>
      <c r="H217" s="315"/>
    </row>
    <row r="218" spans="1:8" ht="28.5" customHeight="1">
      <c r="A218" s="30" t="s">
        <v>273</v>
      </c>
      <c r="B218" s="11" t="s">
        <v>820</v>
      </c>
      <c r="C218" s="11" t="s">
        <v>469</v>
      </c>
      <c r="D218" s="15" t="s">
        <v>611</v>
      </c>
      <c r="E218" s="11" t="s">
        <v>150</v>
      </c>
      <c r="F218" s="10">
        <f>10+3.28</f>
        <v>13.28</v>
      </c>
      <c r="G218" s="314" t="s">
        <v>676</v>
      </c>
      <c r="H218" s="315"/>
    </row>
    <row r="219" spans="1:8" ht="28.5" customHeight="1">
      <c r="A219" s="30" t="s">
        <v>468</v>
      </c>
      <c r="B219" s="11" t="s">
        <v>820</v>
      </c>
      <c r="C219" s="11" t="s">
        <v>470</v>
      </c>
      <c r="D219" s="220" t="s">
        <v>612</v>
      </c>
      <c r="E219" s="30" t="s">
        <v>150</v>
      </c>
      <c r="F219" s="147">
        <f>3*2</f>
        <v>6</v>
      </c>
      <c r="G219" s="314" t="s">
        <v>677</v>
      </c>
      <c r="H219" s="315"/>
    </row>
    <row r="220" spans="1:8">
      <c r="A220" s="245"/>
      <c r="B220" s="28"/>
      <c r="C220" s="28"/>
      <c r="D220" s="15"/>
      <c r="E220" s="11"/>
      <c r="F220" s="10"/>
      <c r="G220" s="314"/>
      <c r="H220" s="315"/>
    </row>
    <row r="221" spans="1:8">
      <c r="A221" s="213">
        <v>6</v>
      </c>
      <c r="B221" s="214"/>
      <c r="C221" s="214"/>
      <c r="D221" s="214" t="s">
        <v>471</v>
      </c>
      <c r="E221" s="214"/>
      <c r="F221" s="214"/>
      <c r="G221" s="317"/>
      <c r="H221" s="318"/>
    </row>
    <row r="222" spans="1:8" ht="84.75" customHeight="1">
      <c r="A222" s="30" t="s">
        <v>260</v>
      </c>
      <c r="B222" s="11" t="s">
        <v>820</v>
      </c>
      <c r="C222" s="11" t="s">
        <v>281</v>
      </c>
      <c r="D222" s="15" t="s">
        <v>615</v>
      </c>
      <c r="E222" s="11" t="s">
        <v>9</v>
      </c>
      <c r="F222" s="10">
        <f>((16.81*2)+(7.48*2))+((33.02*3.2)+((33.5*1))+(12.3*2.5))+((16.81*2)+(7.48*2))+(7.51*1.05)</f>
        <v>274.95949999999999</v>
      </c>
      <c r="G222" s="314" t="s">
        <v>678</v>
      </c>
      <c r="H222" s="315"/>
    </row>
    <row r="223" spans="1:8" ht="78" customHeight="1">
      <c r="A223" s="30" t="s">
        <v>472</v>
      </c>
      <c r="B223" s="11" t="s">
        <v>820</v>
      </c>
      <c r="C223" s="11" t="s">
        <v>280</v>
      </c>
      <c r="D223" s="15" t="s">
        <v>616</v>
      </c>
      <c r="E223" s="11" t="s">
        <v>9</v>
      </c>
      <c r="F223" s="10">
        <f>F222</f>
        <v>274.95949999999999</v>
      </c>
      <c r="G223" s="314" t="s">
        <v>678</v>
      </c>
      <c r="H223" s="315"/>
    </row>
    <row r="224" spans="1:8" ht="37.5" customHeight="1">
      <c r="A224" s="30" t="s">
        <v>473</v>
      </c>
      <c r="B224" s="11" t="s">
        <v>820</v>
      </c>
      <c r="C224" s="11" t="s">
        <v>474</v>
      </c>
      <c r="D224" s="15" t="s">
        <v>475</v>
      </c>
      <c r="E224" s="11" t="s">
        <v>9</v>
      </c>
      <c r="F224" s="10">
        <f>((16.81*2)+(7.48*2))*2*1.05</f>
        <v>102.018</v>
      </c>
      <c r="G224" s="314" t="s">
        <v>679</v>
      </c>
      <c r="H224" s="315"/>
    </row>
    <row r="225" spans="1:8" ht="29.25">
      <c r="A225" s="30" t="s">
        <v>476</v>
      </c>
      <c r="B225" s="11" t="s">
        <v>820</v>
      </c>
      <c r="C225" s="11" t="s">
        <v>477</v>
      </c>
      <c r="D225" s="15" t="s">
        <v>478</v>
      </c>
      <c r="E225" s="11" t="s">
        <v>9</v>
      </c>
      <c r="F225" s="10">
        <f>16.81*2+7.48*2</f>
        <v>48.58</v>
      </c>
      <c r="G225" s="314" t="s">
        <v>680</v>
      </c>
      <c r="H225" s="315"/>
    </row>
    <row r="226" spans="1:8">
      <c r="A226" s="30" t="s">
        <v>742</v>
      </c>
      <c r="B226" s="11" t="s">
        <v>820</v>
      </c>
      <c r="C226" s="11" t="s">
        <v>210</v>
      </c>
      <c r="D226" s="15" t="s">
        <v>479</v>
      </c>
      <c r="E226" s="11" t="s">
        <v>150</v>
      </c>
      <c r="F226" s="10">
        <f>(4*0.9)</f>
        <v>3.6</v>
      </c>
      <c r="G226" s="314" t="s">
        <v>745</v>
      </c>
      <c r="H226" s="315"/>
    </row>
    <row r="227" spans="1:8">
      <c r="A227" s="30" t="s">
        <v>743</v>
      </c>
      <c r="B227" s="11" t="s">
        <v>820</v>
      </c>
      <c r="C227" s="11" t="s">
        <v>480</v>
      </c>
      <c r="D227" s="220" t="s">
        <v>481</v>
      </c>
      <c r="E227" s="11" t="s">
        <v>9</v>
      </c>
      <c r="F227" s="10">
        <f>1.01*2</f>
        <v>2.02</v>
      </c>
      <c r="G227" s="314" t="s">
        <v>681</v>
      </c>
      <c r="H227" s="315"/>
    </row>
    <row r="228" spans="1:8">
      <c r="A228" s="245"/>
      <c r="B228" s="28"/>
      <c r="C228" s="28"/>
      <c r="D228" s="15"/>
      <c r="E228" s="11"/>
      <c r="F228" s="10"/>
      <c r="G228" s="314"/>
      <c r="H228" s="315"/>
    </row>
    <row r="229" spans="1:8">
      <c r="A229" s="213">
        <v>7</v>
      </c>
      <c r="B229" s="214"/>
      <c r="C229" s="214"/>
      <c r="D229" s="214" t="s">
        <v>482</v>
      </c>
      <c r="E229" s="214"/>
      <c r="F229" s="214"/>
      <c r="G229" s="317"/>
      <c r="H229" s="318"/>
    </row>
    <row r="230" spans="1:8">
      <c r="A230" s="30" t="s">
        <v>483</v>
      </c>
      <c r="B230" s="11" t="s">
        <v>820</v>
      </c>
      <c r="C230" s="11" t="s">
        <v>208</v>
      </c>
      <c r="D230" s="15" t="s">
        <v>207</v>
      </c>
      <c r="E230" s="30" t="s">
        <v>9</v>
      </c>
      <c r="F230" s="171">
        <f>0.9*2.1</f>
        <v>1.8900000000000001</v>
      </c>
      <c r="G230" s="314" t="s">
        <v>682</v>
      </c>
      <c r="H230" s="315"/>
    </row>
    <row r="231" spans="1:8" ht="29.25">
      <c r="A231" s="30" t="s">
        <v>484</v>
      </c>
      <c r="B231" s="11" t="s">
        <v>820</v>
      </c>
      <c r="C231" s="11" t="s">
        <v>485</v>
      </c>
      <c r="D231" s="15" t="s">
        <v>486</v>
      </c>
      <c r="E231" s="11" t="s">
        <v>156</v>
      </c>
      <c r="F231" s="10">
        <v>4</v>
      </c>
      <c r="G231" s="314" t="s">
        <v>683</v>
      </c>
      <c r="H231" s="315"/>
    </row>
    <row r="232" spans="1:8" ht="40.5" customHeight="1">
      <c r="A232" s="30" t="s">
        <v>487</v>
      </c>
      <c r="B232" s="11" t="s">
        <v>820</v>
      </c>
      <c r="C232" s="11" t="s">
        <v>614</v>
      </c>
      <c r="D232" s="15" t="s">
        <v>613</v>
      </c>
      <c r="E232" s="30" t="s">
        <v>9</v>
      </c>
      <c r="F232" s="171">
        <f>(2.5*0.6*2)+(1.2*0.6*2)</f>
        <v>4.4399999999999995</v>
      </c>
      <c r="G232" s="314" t="s">
        <v>684</v>
      </c>
      <c r="H232" s="315"/>
    </row>
    <row r="233" spans="1:8">
      <c r="A233" s="30" t="s">
        <v>488</v>
      </c>
      <c r="B233" s="11" t="s">
        <v>820</v>
      </c>
      <c r="C233" s="11" t="s">
        <v>489</v>
      </c>
      <c r="D233" s="15" t="s">
        <v>490</v>
      </c>
      <c r="E233" s="30" t="s">
        <v>9</v>
      </c>
      <c r="F233" s="171">
        <f>F232</f>
        <v>4.4399999999999995</v>
      </c>
      <c r="G233" s="314" t="s">
        <v>684</v>
      </c>
      <c r="H233" s="315"/>
    </row>
    <row r="234" spans="1:8">
      <c r="A234" s="245"/>
      <c r="B234" s="28"/>
      <c r="C234" s="28"/>
      <c r="D234" s="15"/>
      <c r="E234" s="11"/>
      <c r="F234" s="10"/>
      <c r="G234" s="314"/>
      <c r="H234" s="315"/>
    </row>
    <row r="235" spans="1:8">
      <c r="A235" s="213">
        <v>8</v>
      </c>
      <c r="B235" s="214"/>
      <c r="C235" s="214"/>
      <c r="D235" s="214" t="s">
        <v>57</v>
      </c>
      <c r="E235" s="214"/>
      <c r="F235" s="214"/>
      <c r="G235" s="317"/>
      <c r="H235" s="318"/>
    </row>
    <row r="236" spans="1:8" ht="45" customHeight="1">
      <c r="A236" s="30" t="s">
        <v>491</v>
      </c>
      <c r="B236" s="11" t="s">
        <v>820</v>
      </c>
      <c r="C236" s="11" t="s">
        <v>41</v>
      </c>
      <c r="D236" s="15" t="s">
        <v>492</v>
      </c>
      <c r="E236" s="11" t="s">
        <v>9</v>
      </c>
      <c r="F236" s="10">
        <v>172.94149999999999</v>
      </c>
      <c r="G236" s="314" t="s">
        <v>685</v>
      </c>
      <c r="H236" s="315"/>
    </row>
    <row r="237" spans="1:8" ht="30.75" customHeight="1">
      <c r="A237" s="30" t="s">
        <v>744</v>
      </c>
      <c r="B237" s="11" t="s">
        <v>820</v>
      </c>
      <c r="C237" s="11" t="s">
        <v>51</v>
      </c>
      <c r="D237" s="15" t="s">
        <v>617</v>
      </c>
      <c r="E237" s="30" t="s">
        <v>9</v>
      </c>
      <c r="F237" s="147">
        <v>15.824999999999999</v>
      </c>
      <c r="G237" s="314" t="s">
        <v>686</v>
      </c>
      <c r="H237" s="315"/>
    </row>
    <row r="238" spans="1:8">
      <c r="A238" s="245"/>
      <c r="B238" s="28"/>
      <c r="C238" s="28"/>
      <c r="D238" s="15"/>
      <c r="E238" s="11"/>
      <c r="F238" s="10"/>
      <c r="G238" s="314"/>
      <c r="H238" s="315"/>
    </row>
    <row r="239" spans="1:8">
      <c r="A239" s="213">
        <v>9</v>
      </c>
      <c r="B239" s="214"/>
      <c r="C239" s="214"/>
      <c r="D239" s="214" t="s">
        <v>493</v>
      </c>
      <c r="E239" s="214"/>
      <c r="F239" s="214"/>
      <c r="G239" s="317"/>
      <c r="H239" s="318"/>
    </row>
    <row r="240" spans="1:8" ht="29.25">
      <c r="A240" s="30" t="s">
        <v>494</v>
      </c>
      <c r="B240" s="11" t="s">
        <v>820</v>
      </c>
      <c r="C240" s="11" t="s">
        <v>495</v>
      </c>
      <c r="D240" s="15" t="s">
        <v>496</v>
      </c>
      <c r="E240" s="11" t="s">
        <v>156</v>
      </c>
      <c r="F240" s="10">
        <v>2</v>
      </c>
      <c r="G240" s="314" t="s">
        <v>687</v>
      </c>
      <c r="H240" s="315"/>
    </row>
    <row r="241" spans="1:8" ht="29.25">
      <c r="A241" s="30" t="s">
        <v>497</v>
      </c>
      <c r="B241" s="11" t="s">
        <v>820</v>
      </c>
      <c r="C241" s="11" t="s">
        <v>498</v>
      </c>
      <c r="D241" s="15" t="s">
        <v>499</v>
      </c>
      <c r="E241" s="11" t="s">
        <v>156</v>
      </c>
      <c r="F241" s="10">
        <v>4</v>
      </c>
      <c r="G241" s="314" t="s">
        <v>687</v>
      </c>
      <c r="H241" s="315"/>
    </row>
    <row r="242" spans="1:8" ht="29.25">
      <c r="A242" s="30" t="s">
        <v>500</v>
      </c>
      <c r="B242" s="11" t="s">
        <v>820</v>
      </c>
      <c r="C242" s="30" t="s">
        <v>501</v>
      </c>
      <c r="D242" s="15" t="s">
        <v>502</v>
      </c>
      <c r="E242" s="30" t="s">
        <v>503</v>
      </c>
      <c r="F242" s="171">
        <v>2</v>
      </c>
      <c r="G242" s="314" t="s">
        <v>688</v>
      </c>
      <c r="H242" s="315"/>
    </row>
    <row r="243" spans="1:8" ht="29.25">
      <c r="A243" s="30" t="s">
        <v>504</v>
      </c>
      <c r="B243" s="11" t="s">
        <v>820</v>
      </c>
      <c r="C243" s="30" t="s">
        <v>505</v>
      </c>
      <c r="D243" s="15" t="s">
        <v>506</v>
      </c>
      <c r="E243" s="30" t="s">
        <v>150</v>
      </c>
      <c r="F243" s="171">
        <f>0.9*2</f>
        <v>1.8</v>
      </c>
      <c r="G243" s="314" t="s">
        <v>844</v>
      </c>
      <c r="H243" s="315"/>
    </row>
    <row r="244" spans="1:8" ht="35.25" customHeight="1">
      <c r="A244" s="30" t="s">
        <v>507</v>
      </c>
      <c r="B244" s="11" t="s">
        <v>820</v>
      </c>
      <c r="C244" s="30" t="s">
        <v>508</v>
      </c>
      <c r="D244" s="15" t="s">
        <v>509</v>
      </c>
      <c r="E244" s="30" t="s">
        <v>9</v>
      </c>
      <c r="F244" s="171">
        <f>0.36*2</f>
        <v>0.72</v>
      </c>
      <c r="G244" s="314" t="s">
        <v>843</v>
      </c>
      <c r="H244" s="315"/>
    </row>
    <row r="245" spans="1:8">
      <c r="A245" s="239"/>
      <c r="B245" s="28"/>
      <c r="C245" s="240"/>
      <c r="D245" s="174"/>
      <c r="E245" s="175"/>
      <c r="F245" s="175"/>
      <c r="G245" s="314"/>
      <c r="H245" s="315"/>
    </row>
    <row r="246" spans="1:8">
      <c r="A246" s="213">
        <v>10</v>
      </c>
      <c r="B246" s="214"/>
      <c r="C246" s="214"/>
      <c r="D246" s="214" t="s">
        <v>153</v>
      </c>
      <c r="E246" s="214"/>
      <c r="F246" s="214"/>
      <c r="G246" s="317"/>
      <c r="H246" s="318"/>
    </row>
    <row r="247" spans="1:8" ht="35.25" customHeight="1">
      <c r="A247" s="14" t="s">
        <v>699</v>
      </c>
      <c r="B247" s="11" t="s">
        <v>820</v>
      </c>
      <c r="C247" s="11" t="s">
        <v>159</v>
      </c>
      <c r="D247" s="154" t="s">
        <v>160</v>
      </c>
      <c r="E247" s="30" t="s">
        <v>156</v>
      </c>
      <c r="F247" s="147">
        <v>2</v>
      </c>
      <c r="G247" s="314" t="s">
        <v>710</v>
      </c>
      <c r="H247" s="315"/>
    </row>
    <row r="248" spans="1:8" ht="35.25" customHeight="1">
      <c r="A248" s="14" t="s">
        <v>700</v>
      </c>
      <c r="B248" s="11" t="s">
        <v>820</v>
      </c>
      <c r="C248" s="11" t="s">
        <v>510</v>
      </c>
      <c r="D248" s="154" t="s">
        <v>511</v>
      </c>
      <c r="E248" s="30" t="s">
        <v>156</v>
      </c>
      <c r="F248" s="147">
        <v>2</v>
      </c>
      <c r="G248" s="314" t="s">
        <v>710</v>
      </c>
      <c r="H248" s="315"/>
    </row>
    <row r="249" spans="1:8" ht="35.25" customHeight="1">
      <c r="A249" s="14" t="s">
        <v>701</v>
      </c>
      <c r="B249" s="11" t="s">
        <v>820</v>
      </c>
      <c r="C249" s="11" t="s">
        <v>512</v>
      </c>
      <c r="D249" s="154" t="s">
        <v>513</v>
      </c>
      <c r="E249" s="30" t="s">
        <v>156</v>
      </c>
      <c r="F249" s="147">
        <v>2</v>
      </c>
      <c r="G249" s="314" t="s">
        <v>710</v>
      </c>
      <c r="H249" s="315"/>
    </row>
    <row r="250" spans="1:8" ht="35.25" customHeight="1">
      <c r="A250" s="14" t="s">
        <v>702</v>
      </c>
      <c r="B250" s="11" t="s">
        <v>820</v>
      </c>
      <c r="C250" s="11" t="s">
        <v>514</v>
      </c>
      <c r="D250" s="154" t="s">
        <v>515</v>
      </c>
      <c r="E250" s="30" t="s">
        <v>156</v>
      </c>
      <c r="F250" s="147">
        <v>2</v>
      </c>
      <c r="G250" s="314" t="s">
        <v>710</v>
      </c>
      <c r="H250" s="315"/>
    </row>
    <row r="251" spans="1:8" ht="35.25" customHeight="1">
      <c r="A251" s="14" t="s">
        <v>703</v>
      </c>
      <c r="B251" s="11" t="s">
        <v>820</v>
      </c>
      <c r="C251" s="11" t="s">
        <v>165</v>
      </c>
      <c r="D251" s="154" t="s">
        <v>166</v>
      </c>
      <c r="E251" s="30" t="s">
        <v>156</v>
      </c>
      <c r="F251" s="147">
        <v>1</v>
      </c>
      <c r="G251" s="314" t="s">
        <v>711</v>
      </c>
      <c r="H251" s="315"/>
    </row>
    <row r="252" spans="1:8" ht="35.25" customHeight="1">
      <c r="A252" s="14" t="s">
        <v>704</v>
      </c>
      <c r="B252" s="11" t="s">
        <v>820</v>
      </c>
      <c r="C252" s="11" t="s">
        <v>167</v>
      </c>
      <c r="D252" s="154" t="s">
        <v>168</v>
      </c>
      <c r="E252" s="30" t="s">
        <v>156</v>
      </c>
      <c r="F252" s="147">
        <v>4</v>
      </c>
      <c r="G252" s="314" t="s">
        <v>711</v>
      </c>
      <c r="H252" s="315"/>
    </row>
    <row r="253" spans="1:8" ht="35.25" customHeight="1">
      <c r="A253" s="14" t="s">
        <v>705</v>
      </c>
      <c r="B253" s="11" t="s">
        <v>820</v>
      </c>
      <c r="C253" s="11" t="s">
        <v>406</v>
      </c>
      <c r="D253" s="154" t="s">
        <v>405</v>
      </c>
      <c r="E253" s="30" t="s">
        <v>150</v>
      </c>
      <c r="F253" s="147">
        <v>20</v>
      </c>
      <c r="G253" s="314" t="s">
        <v>711</v>
      </c>
      <c r="H253" s="315"/>
    </row>
    <row r="254" spans="1:8" ht="64.5" customHeight="1">
      <c r="A254" s="14" t="s">
        <v>706</v>
      </c>
      <c r="B254" s="11" t="s">
        <v>820</v>
      </c>
      <c r="C254" s="11" t="s">
        <v>520</v>
      </c>
      <c r="D254" s="154" t="s">
        <v>521</v>
      </c>
      <c r="E254" s="30" t="s">
        <v>150</v>
      </c>
      <c r="F254" s="147">
        <f>(1.83+1.6+0.9+2.4+2.4+1.75+2.4+0.95+1.75+1.1+0.95+1.75+1.75+1.63+(8*2.5)+0.85)+2.3*2</f>
        <v>48.61</v>
      </c>
      <c r="G254" s="314" t="s">
        <v>712</v>
      </c>
      <c r="H254" s="315"/>
    </row>
    <row r="255" spans="1:8" ht="35.25" customHeight="1">
      <c r="A255" s="14" t="s">
        <v>707</v>
      </c>
      <c r="B255" s="11" t="s">
        <v>820</v>
      </c>
      <c r="C255" s="11" t="s">
        <v>169</v>
      </c>
      <c r="D255" s="154" t="s">
        <v>170</v>
      </c>
      <c r="E255" s="30" t="s">
        <v>150</v>
      </c>
      <c r="F255" s="147">
        <f>F254*3</f>
        <v>145.82999999999998</v>
      </c>
      <c r="G255" s="314" t="s">
        <v>713</v>
      </c>
      <c r="H255" s="315"/>
    </row>
    <row r="256" spans="1:8" ht="35.25" customHeight="1">
      <c r="A256" s="14" t="s">
        <v>516</v>
      </c>
      <c r="B256" s="11" t="s">
        <v>820</v>
      </c>
      <c r="C256" s="11" t="s">
        <v>171</v>
      </c>
      <c r="D256" s="154" t="s">
        <v>172</v>
      </c>
      <c r="E256" s="30" t="s">
        <v>150</v>
      </c>
      <c r="F256" s="147">
        <f>F254*2</f>
        <v>97.22</v>
      </c>
      <c r="G256" s="314" t="s">
        <v>714</v>
      </c>
      <c r="H256" s="315"/>
    </row>
    <row r="257" spans="1:8" ht="35.25" customHeight="1">
      <c r="A257" s="14" t="s">
        <v>517</v>
      </c>
      <c r="B257" s="11" t="s">
        <v>820</v>
      </c>
      <c r="C257" s="11" t="s">
        <v>624</v>
      </c>
      <c r="D257" s="154" t="s">
        <v>623</v>
      </c>
      <c r="E257" s="30" t="s">
        <v>150</v>
      </c>
      <c r="F257" s="147">
        <f>(5.8+0.91+4.75+1.8+3.5)*3</f>
        <v>50.28</v>
      </c>
      <c r="G257" s="314" t="s">
        <v>715</v>
      </c>
      <c r="H257" s="315"/>
    </row>
    <row r="258" spans="1:8" ht="35.25" customHeight="1">
      <c r="A258" s="14" t="s">
        <v>518</v>
      </c>
      <c r="B258" s="11" t="s">
        <v>820</v>
      </c>
      <c r="C258" s="11" t="s">
        <v>525</v>
      </c>
      <c r="D258" s="154" t="s">
        <v>526</v>
      </c>
      <c r="E258" s="30" t="s">
        <v>156</v>
      </c>
      <c r="F258" s="147">
        <v>14</v>
      </c>
      <c r="G258" s="314" t="s">
        <v>711</v>
      </c>
      <c r="H258" s="315"/>
    </row>
    <row r="259" spans="1:8" ht="35.25" customHeight="1">
      <c r="A259" s="14" t="s">
        <v>519</v>
      </c>
      <c r="B259" s="11" t="s">
        <v>820</v>
      </c>
      <c r="C259" s="11" t="s">
        <v>528</v>
      </c>
      <c r="D259" s="223" t="s">
        <v>529</v>
      </c>
      <c r="E259" s="30" t="s">
        <v>156</v>
      </c>
      <c r="F259" s="147">
        <v>6</v>
      </c>
      <c r="G259" s="314" t="s">
        <v>711</v>
      </c>
      <c r="H259" s="315"/>
    </row>
    <row r="260" spans="1:8" ht="35.25" customHeight="1">
      <c r="A260" s="14" t="s">
        <v>522</v>
      </c>
      <c r="B260" s="11" t="s">
        <v>820</v>
      </c>
      <c r="C260" s="11" t="s">
        <v>195</v>
      </c>
      <c r="D260" s="154" t="s">
        <v>196</v>
      </c>
      <c r="E260" s="30" t="s">
        <v>192</v>
      </c>
      <c r="F260" s="147">
        <v>4</v>
      </c>
      <c r="G260" s="314" t="s">
        <v>711</v>
      </c>
      <c r="H260" s="315"/>
    </row>
    <row r="261" spans="1:8" ht="35.25" customHeight="1">
      <c r="A261" s="14" t="s">
        <v>523</v>
      </c>
      <c r="B261" s="11" t="s">
        <v>820</v>
      </c>
      <c r="C261" s="11" t="s">
        <v>193</v>
      </c>
      <c r="D261" s="154" t="s">
        <v>194</v>
      </c>
      <c r="E261" s="30" t="s">
        <v>192</v>
      </c>
      <c r="F261" s="147">
        <v>2</v>
      </c>
      <c r="G261" s="314" t="s">
        <v>711</v>
      </c>
      <c r="H261" s="315"/>
    </row>
    <row r="262" spans="1:8" ht="35.25" customHeight="1">
      <c r="A262" s="14" t="s">
        <v>524</v>
      </c>
      <c r="B262" s="11" t="s">
        <v>820</v>
      </c>
      <c r="C262" s="11" t="s">
        <v>185</v>
      </c>
      <c r="D262" s="154" t="s">
        <v>186</v>
      </c>
      <c r="E262" s="30" t="s">
        <v>156</v>
      </c>
      <c r="F262" s="147">
        <v>6</v>
      </c>
      <c r="G262" s="314" t="s">
        <v>716</v>
      </c>
      <c r="H262" s="315"/>
    </row>
    <row r="263" spans="1:8" ht="35.25" customHeight="1">
      <c r="A263" s="14" t="s">
        <v>708</v>
      </c>
      <c r="B263" s="11" t="s">
        <v>820</v>
      </c>
      <c r="C263" s="11" t="s">
        <v>619</v>
      </c>
      <c r="D263" s="154" t="s">
        <v>618</v>
      </c>
      <c r="E263" s="30" t="s">
        <v>156</v>
      </c>
      <c r="F263" s="147">
        <v>2</v>
      </c>
      <c r="G263" s="314" t="s">
        <v>716</v>
      </c>
      <c r="H263" s="315"/>
    </row>
    <row r="264" spans="1:8" ht="35.25" customHeight="1">
      <c r="A264" s="14" t="s">
        <v>527</v>
      </c>
      <c r="B264" s="11" t="s">
        <v>820</v>
      </c>
      <c r="C264" s="11" t="s">
        <v>533</v>
      </c>
      <c r="D264" s="154" t="s">
        <v>620</v>
      </c>
      <c r="E264" s="30" t="s">
        <v>156</v>
      </c>
      <c r="F264" s="147">
        <v>2</v>
      </c>
      <c r="G264" s="314" t="s">
        <v>716</v>
      </c>
      <c r="H264" s="315"/>
    </row>
    <row r="265" spans="1:8" ht="35.25" customHeight="1">
      <c r="A265" s="14" t="s">
        <v>530</v>
      </c>
      <c r="B265" s="11" t="s">
        <v>820</v>
      </c>
      <c r="C265" s="11" t="s">
        <v>534</v>
      </c>
      <c r="D265" s="154" t="s">
        <v>535</v>
      </c>
      <c r="E265" s="30" t="s">
        <v>156</v>
      </c>
      <c r="F265" s="147">
        <v>2</v>
      </c>
      <c r="G265" s="314" t="s">
        <v>716</v>
      </c>
      <c r="H265" s="315"/>
    </row>
    <row r="266" spans="1:8" ht="35.25" customHeight="1">
      <c r="A266" s="14" t="s">
        <v>531</v>
      </c>
      <c r="B266" s="11" t="s">
        <v>820</v>
      </c>
      <c r="C266" s="11" t="s">
        <v>622</v>
      </c>
      <c r="D266" s="154" t="s">
        <v>621</v>
      </c>
      <c r="E266" s="30" t="s">
        <v>156</v>
      </c>
      <c r="F266" s="147">
        <v>2</v>
      </c>
      <c r="G266" s="314" t="s">
        <v>716</v>
      </c>
      <c r="H266" s="315"/>
    </row>
    <row r="267" spans="1:8" ht="35.25" customHeight="1">
      <c r="A267" s="14" t="s">
        <v>709</v>
      </c>
      <c r="B267" s="11" t="s">
        <v>820</v>
      </c>
      <c r="C267" s="11" t="s">
        <v>536</v>
      </c>
      <c r="D267" s="223" t="s">
        <v>537</v>
      </c>
      <c r="E267" s="30" t="s">
        <v>156</v>
      </c>
      <c r="F267" s="147">
        <v>2</v>
      </c>
      <c r="G267" s="314" t="s">
        <v>716</v>
      </c>
      <c r="H267" s="315"/>
    </row>
    <row r="268" spans="1:8" ht="35.25" customHeight="1">
      <c r="A268" s="14" t="s">
        <v>532</v>
      </c>
      <c r="B268" s="11" t="s">
        <v>820</v>
      </c>
      <c r="C268" s="11" t="s">
        <v>630</v>
      </c>
      <c r="D268" s="223" t="s">
        <v>629</v>
      </c>
      <c r="E268" s="30" t="s">
        <v>150</v>
      </c>
      <c r="F268" s="147">
        <f>4.05+4.9</f>
        <v>8.9499999999999993</v>
      </c>
      <c r="G268" s="314" t="s">
        <v>845</v>
      </c>
      <c r="H268" s="315"/>
    </row>
    <row r="269" spans="1:8">
      <c r="A269" s="239"/>
      <c r="B269" s="28"/>
      <c r="C269" s="240"/>
      <c r="D269" s="174"/>
      <c r="E269" s="175"/>
      <c r="F269" s="175"/>
      <c r="G269" s="314"/>
      <c r="H269" s="315"/>
    </row>
    <row r="270" spans="1:8">
      <c r="A270" s="213">
        <v>11</v>
      </c>
      <c r="B270" s="214"/>
      <c r="C270" s="214"/>
      <c r="D270" s="214" t="s">
        <v>538</v>
      </c>
      <c r="E270" s="214"/>
      <c r="F270" s="214"/>
      <c r="G270" s="317"/>
      <c r="H270" s="318"/>
    </row>
    <row r="271" spans="1:8" ht="29.25">
      <c r="A271" s="219" t="s">
        <v>801</v>
      </c>
      <c r="B271" s="11" t="s">
        <v>820</v>
      </c>
      <c r="C271" s="11" t="s">
        <v>626</v>
      </c>
      <c r="D271" s="220" t="s">
        <v>625</v>
      </c>
      <c r="E271" s="30" t="s">
        <v>156</v>
      </c>
      <c r="F271" s="147">
        <v>1</v>
      </c>
      <c r="G271" s="314" t="s">
        <v>746</v>
      </c>
      <c r="H271" s="315"/>
    </row>
    <row r="272" spans="1:8" ht="29.25">
      <c r="A272" s="219" t="s">
        <v>802</v>
      </c>
      <c r="B272" s="11" t="s">
        <v>820</v>
      </c>
      <c r="C272" s="11" t="s">
        <v>628</v>
      </c>
      <c r="D272" s="220" t="s">
        <v>627</v>
      </c>
      <c r="E272" s="30" t="s">
        <v>156</v>
      </c>
      <c r="F272" s="147">
        <v>1</v>
      </c>
      <c r="G272" s="314" t="s">
        <v>746</v>
      </c>
      <c r="H272" s="315"/>
    </row>
    <row r="273" spans="1:8">
      <c r="A273" s="219" t="s">
        <v>803</v>
      </c>
      <c r="B273" s="11" t="s">
        <v>820</v>
      </c>
      <c r="C273" s="11" t="s">
        <v>548</v>
      </c>
      <c r="D273" s="220" t="s">
        <v>549</v>
      </c>
      <c r="E273" s="30" t="s">
        <v>156</v>
      </c>
      <c r="F273" s="147">
        <v>2</v>
      </c>
      <c r="G273" s="314" t="s">
        <v>746</v>
      </c>
      <c r="H273" s="315"/>
    </row>
    <row r="274" spans="1:8" ht="29.25">
      <c r="A274" s="219" t="s">
        <v>804</v>
      </c>
      <c r="B274" s="11" t="s">
        <v>820</v>
      </c>
      <c r="C274" s="11" t="s">
        <v>470</v>
      </c>
      <c r="D274" s="220" t="s">
        <v>539</v>
      </c>
      <c r="E274" s="30" t="s">
        <v>150</v>
      </c>
      <c r="F274" s="147">
        <f>(1.25+1.55+2.6+2.68+2.8)*2</f>
        <v>21.759999999999998</v>
      </c>
      <c r="G274" s="314" t="s">
        <v>747</v>
      </c>
      <c r="H274" s="315"/>
    </row>
    <row r="275" spans="1:8" ht="47.25" customHeight="1">
      <c r="A275" s="219" t="s">
        <v>805</v>
      </c>
      <c r="B275" s="11" t="s">
        <v>820</v>
      </c>
      <c r="C275" s="11" t="s">
        <v>540</v>
      </c>
      <c r="D275" s="220" t="s">
        <v>541</v>
      </c>
      <c r="E275" s="30" t="s">
        <v>150</v>
      </c>
      <c r="F275" s="147">
        <f>1.5+3.2+4.5+(4*3.2)+1.25+1.25+2.5+2.5</f>
        <v>29.5</v>
      </c>
      <c r="G275" s="314" t="s">
        <v>825</v>
      </c>
      <c r="H275" s="315"/>
    </row>
    <row r="276" spans="1:8">
      <c r="A276" s="219" t="s">
        <v>806</v>
      </c>
      <c r="B276" s="11" t="s">
        <v>820</v>
      </c>
      <c r="C276" s="11" t="s">
        <v>542</v>
      </c>
      <c r="D276" s="220" t="s">
        <v>543</v>
      </c>
      <c r="E276" s="30" t="s">
        <v>156</v>
      </c>
      <c r="F276" s="147">
        <v>1</v>
      </c>
      <c r="G276" s="314" t="s">
        <v>746</v>
      </c>
      <c r="H276" s="315"/>
    </row>
    <row r="277" spans="1:8">
      <c r="A277" s="219" t="s">
        <v>807</v>
      </c>
      <c r="B277" s="11" t="s">
        <v>820</v>
      </c>
      <c r="C277" s="30" t="s">
        <v>634</v>
      </c>
      <c r="D277" s="220" t="s">
        <v>633</v>
      </c>
      <c r="E277" s="30" t="s">
        <v>156</v>
      </c>
      <c r="F277" s="147">
        <v>1</v>
      </c>
      <c r="G277" s="314" t="s">
        <v>746</v>
      </c>
      <c r="H277" s="315"/>
    </row>
    <row r="278" spans="1:8" ht="29.25">
      <c r="A278" s="219" t="s">
        <v>808</v>
      </c>
      <c r="B278" s="11" t="s">
        <v>820</v>
      </c>
      <c r="C278" s="225" t="s">
        <v>544</v>
      </c>
      <c r="D278" s="220" t="s">
        <v>545</v>
      </c>
      <c r="E278" s="30" t="s">
        <v>156</v>
      </c>
      <c r="F278" s="147">
        <v>8</v>
      </c>
      <c r="G278" s="314" t="s">
        <v>746</v>
      </c>
      <c r="H278" s="315"/>
    </row>
    <row r="279" spans="1:8">
      <c r="A279" s="219" t="s">
        <v>809</v>
      </c>
      <c r="B279" s="11" t="s">
        <v>820</v>
      </c>
      <c r="C279" s="11" t="s">
        <v>546</v>
      </c>
      <c r="D279" s="220" t="s">
        <v>547</v>
      </c>
      <c r="E279" s="11" t="s">
        <v>156</v>
      </c>
      <c r="F279" s="171">
        <v>6</v>
      </c>
      <c r="G279" s="314" t="s">
        <v>746</v>
      </c>
      <c r="H279" s="315"/>
    </row>
    <row r="280" spans="1:8" ht="35.25" customHeight="1">
      <c r="A280" s="219" t="s">
        <v>810</v>
      </c>
      <c r="B280" s="11" t="s">
        <v>820</v>
      </c>
      <c r="C280" s="11" t="s">
        <v>550</v>
      </c>
      <c r="D280" s="220" t="s">
        <v>551</v>
      </c>
      <c r="E280" s="11" t="s">
        <v>150</v>
      </c>
      <c r="F280" s="171">
        <f>1.25*2</f>
        <v>2.5</v>
      </c>
      <c r="G280" s="314" t="s">
        <v>748</v>
      </c>
      <c r="H280" s="315"/>
    </row>
    <row r="281" spans="1:8" ht="35.25" customHeight="1">
      <c r="A281" s="219" t="s">
        <v>811</v>
      </c>
      <c r="B281" s="11" t="s">
        <v>820</v>
      </c>
      <c r="C281" s="11" t="s">
        <v>552</v>
      </c>
      <c r="D281" s="220" t="s">
        <v>553</v>
      </c>
      <c r="E281" s="11" t="s">
        <v>150</v>
      </c>
      <c r="F281" s="171">
        <f>5.6+1.2+1.5+1.6+(8*2.8)</f>
        <v>32.299999999999997</v>
      </c>
      <c r="G281" s="314" t="s">
        <v>826</v>
      </c>
      <c r="H281" s="315"/>
    </row>
    <row r="282" spans="1:8" ht="35.25" customHeight="1">
      <c r="A282" s="219" t="s">
        <v>812</v>
      </c>
      <c r="B282" s="11" t="s">
        <v>820</v>
      </c>
      <c r="C282" s="11" t="s">
        <v>554</v>
      </c>
      <c r="D282" s="220" t="s">
        <v>555</v>
      </c>
      <c r="E282" s="11" t="s">
        <v>150</v>
      </c>
      <c r="F282" s="171">
        <f>(4.3+0.5+1.05+1.8+0.8+1.25+1.2)*2</f>
        <v>21.799999999999997</v>
      </c>
      <c r="G282" s="314" t="s">
        <v>749</v>
      </c>
      <c r="H282" s="315"/>
    </row>
    <row r="283" spans="1:8" ht="35.25" customHeight="1">
      <c r="A283" s="219" t="s">
        <v>813</v>
      </c>
      <c r="B283" s="11" t="s">
        <v>820</v>
      </c>
      <c r="C283" s="11" t="s">
        <v>556</v>
      </c>
      <c r="D283" s="220" t="s">
        <v>557</v>
      </c>
      <c r="E283" s="11" t="s">
        <v>156</v>
      </c>
      <c r="F283" s="171">
        <v>1</v>
      </c>
      <c r="G283" s="314" t="s">
        <v>746</v>
      </c>
      <c r="H283" s="315"/>
    </row>
    <row r="284" spans="1:8" ht="35.25" customHeight="1">
      <c r="A284" s="219" t="s">
        <v>814</v>
      </c>
      <c r="B284" s="11" t="s">
        <v>820</v>
      </c>
      <c r="C284" s="11" t="s">
        <v>558</v>
      </c>
      <c r="D284" s="2" t="s">
        <v>559</v>
      </c>
      <c r="E284" s="11" t="s">
        <v>156</v>
      </c>
      <c r="F284" s="171">
        <v>8</v>
      </c>
      <c r="G284" s="314" t="s">
        <v>746</v>
      </c>
      <c r="H284" s="315"/>
    </row>
    <row r="285" spans="1:8" ht="18" customHeight="1">
      <c r="A285" s="239"/>
      <c r="B285" s="28"/>
      <c r="C285" s="240"/>
      <c r="D285" s="174"/>
      <c r="E285" s="175"/>
      <c r="F285" s="175"/>
      <c r="G285" s="314"/>
      <c r="H285" s="315"/>
    </row>
    <row r="286" spans="1:8" ht="18" customHeight="1">
      <c r="A286" s="213">
        <v>12</v>
      </c>
      <c r="B286" s="214"/>
      <c r="C286" s="214"/>
      <c r="D286" s="214" t="s">
        <v>560</v>
      </c>
      <c r="E286" s="214"/>
      <c r="F286" s="214"/>
      <c r="G286" s="317"/>
      <c r="H286" s="318"/>
    </row>
    <row r="287" spans="1:8" ht="35.25" customHeight="1">
      <c r="A287" s="30" t="s">
        <v>561</v>
      </c>
      <c r="B287" s="11" t="s">
        <v>820</v>
      </c>
      <c r="C287" s="30" t="s">
        <v>562</v>
      </c>
      <c r="D287" s="170" t="s">
        <v>563</v>
      </c>
      <c r="E287" s="30" t="s">
        <v>156</v>
      </c>
      <c r="F287" s="171">
        <v>2</v>
      </c>
      <c r="G287" s="314" t="s">
        <v>688</v>
      </c>
      <c r="H287" s="315"/>
    </row>
    <row r="288" spans="1:8" ht="35.25" customHeight="1">
      <c r="A288" s="30" t="s">
        <v>564</v>
      </c>
      <c r="B288" s="11" t="s">
        <v>820</v>
      </c>
      <c r="C288" s="30" t="s">
        <v>565</v>
      </c>
      <c r="D288" s="170" t="s">
        <v>566</v>
      </c>
      <c r="E288" s="30" t="s">
        <v>156</v>
      </c>
      <c r="F288" s="171">
        <v>6</v>
      </c>
      <c r="G288" s="314" t="s">
        <v>687</v>
      </c>
      <c r="H288" s="315"/>
    </row>
    <row r="289" spans="1:8" ht="35.25" customHeight="1">
      <c r="A289" s="30" t="s">
        <v>567</v>
      </c>
      <c r="B289" s="11" t="s">
        <v>820</v>
      </c>
      <c r="C289" s="30" t="s">
        <v>568</v>
      </c>
      <c r="D289" s="170" t="s">
        <v>569</v>
      </c>
      <c r="E289" s="30" t="s">
        <v>156</v>
      </c>
      <c r="F289" s="171">
        <v>6</v>
      </c>
      <c r="G289" s="314" t="s">
        <v>687</v>
      </c>
      <c r="H289" s="315"/>
    </row>
    <row r="290" spans="1:8" ht="35.25" customHeight="1">
      <c r="A290" s="30" t="s">
        <v>570</v>
      </c>
      <c r="B290" s="11" t="s">
        <v>820</v>
      </c>
      <c r="C290" s="30" t="s">
        <v>571</v>
      </c>
      <c r="D290" s="170" t="s">
        <v>572</v>
      </c>
      <c r="E290" s="30" t="s">
        <v>156</v>
      </c>
      <c r="F290" s="171">
        <v>2</v>
      </c>
      <c r="G290" s="314" t="s">
        <v>688</v>
      </c>
      <c r="H290" s="315"/>
    </row>
    <row r="291" spans="1:8" ht="35.25" customHeight="1">
      <c r="A291" s="30" t="s">
        <v>573</v>
      </c>
      <c r="B291" s="11" t="s">
        <v>820</v>
      </c>
      <c r="C291" s="30" t="s">
        <v>574</v>
      </c>
      <c r="D291" s="170" t="s">
        <v>575</v>
      </c>
      <c r="E291" s="30" t="s">
        <v>156</v>
      </c>
      <c r="F291" s="10">
        <v>2</v>
      </c>
      <c r="G291" s="314" t="s">
        <v>688</v>
      </c>
      <c r="H291" s="315"/>
    </row>
    <row r="292" spans="1:8" ht="35.25" customHeight="1">
      <c r="A292" s="30" t="s">
        <v>576</v>
      </c>
      <c r="B292" s="11" t="s">
        <v>820</v>
      </c>
      <c r="C292" s="225" t="s">
        <v>577</v>
      </c>
      <c r="D292" s="220" t="s">
        <v>578</v>
      </c>
      <c r="E292" s="11" t="s">
        <v>156</v>
      </c>
      <c r="F292" s="10">
        <v>6</v>
      </c>
      <c r="G292" s="314" t="s">
        <v>687</v>
      </c>
      <c r="H292" s="315"/>
    </row>
    <row r="293" spans="1:8" ht="35.25" customHeight="1">
      <c r="A293" s="30" t="s">
        <v>579</v>
      </c>
      <c r="B293" s="11" t="s">
        <v>820</v>
      </c>
      <c r="C293" s="225" t="s">
        <v>580</v>
      </c>
      <c r="D293" s="220" t="s">
        <v>581</v>
      </c>
      <c r="E293" s="11" t="s">
        <v>9</v>
      </c>
      <c r="F293" s="10">
        <f>(1.85*0.8)*2+(0.8*0.8)*2</f>
        <v>4.24</v>
      </c>
      <c r="G293" s="314" t="s">
        <v>687</v>
      </c>
      <c r="H293" s="315"/>
    </row>
    <row r="294" spans="1:8" ht="35.25" customHeight="1">
      <c r="A294" s="30" t="s">
        <v>582</v>
      </c>
      <c r="B294" s="11" t="s">
        <v>820</v>
      </c>
      <c r="C294" s="225" t="s">
        <v>583</v>
      </c>
      <c r="D294" s="220" t="s">
        <v>584</v>
      </c>
      <c r="E294" s="11" t="s">
        <v>156</v>
      </c>
      <c r="F294" s="10">
        <v>4</v>
      </c>
      <c r="G294" s="314" t="s">
        <v>687</v>
      </c>
      <c r="H294" s="315"/>
    </row>
    <row r="295" spans="1:8" ht="35.25" customHeight="1">
      <c r="A295" s="30" t="s">
        <v>585</v>
      </c>
      <c r="B295" s="11" t="s">
        <v>820</v>
      </c>
      <c r="C295" s="225" t="s">
        <v>586</v>
      </c>
      <c r="D295" s="220" t="s">
        <v>587</v>
      </c>
      <c r="E295" s="11" t="s">
        <v>156</v>
      </c>
      <c r="F295" s="10">
        <v>4</v>
      </c>
      <c r="G295" s="314" t="s">
        <v>687</v>
      </c>
      <c r="H295" s="315"/>
    </row>
    <row r="296" spans="1:8" ht="35.25" customHeight="1">
      <c r="A296" s="30" t="s">
        <v>588</v>
      </c>
      <c r="B296" s="11" t="s">
        <v>820</v>
      </c>
      <c r="C296" s="30" t="s">
        <v>589</v>
      </c>
      <c r="D296" s="15" t="s">
        <v>590</v>
      </c>
      <c r="E296" s="30" t="s">
        <v>156</v>
      </c>
      <c r="F296" s="171">
        <v>6</v>
      </c>
      <c r="G296" s="314" t="s">
        <v>751</v>
      </c>
      <c r="H296" s="315"/>
    </row>
    <row r="297" spans="1:8" ht="35.25" customHeight="1">
      <c r="A297" s="30" t="s">
        <v>591</v>
      </c>
      <c r="B297" s="11" t="s">
        <v>820</v>
      </c>
      <c r="C297" s="30" t="s">
        <v>592</v>
      </c>
      <c r="D297" s="15" t="s">
        <v>593</v>
      </c>
      <c r="E297" s="30" t="s">
        <v>156</v>
      </c>
      <c r="F297" s="171">
        <v>6</v>
      </c>
      <c r="G297" s="314" t="s">
        <v>688</v>
      </c>
      <c r="H297" s="315"/>
    </row>
    <row r="298" spans="1:8" ht="35.25" customHeight="1">
      <c r="A298" s="30" t="s">
        <v>594</v>
      </c>
      <c r="B298" s="11" t="s">
        <v>820</v>
      </c>
      <c r="C298" s="30" t="s">
        <v>595</v>
      </c>
      <c r="D298" s="170" t="s">
        <v>596</v>
      </c>
      <c r="E298" s="30" t="s">
        <v>156</v>
      </c>
      <c r="F298" s="171">
        <v>6</v>
      </c>
      <c r="G298" s="314" t="s">
        <v>752</v>
      </c>
      <c r="H298" s="315"/>
    </row>
    <row r="299" spans="1:8" ht="35.25" customHeight="1">
      <c r="A299" s="30" t="s">
        <v>597</v>
      </c>
      <c r="B299" s="11" t="s">
        <v>820</v>
      </c>
      <c r="C299" s="30" t="s">
        <v>599</v>
      </c>
      <c r="D299" s="170" t="s">
        <v>600</v>
      </c>
      <c r="E299" s="30" t="s">
        <v>156</v>
      </c>
      <c r="F299" s="10">
        <v>4</v>
      </c>
      <c r="G299" s="314" t="s">
        <v>750</v>
      </c>
      <c r="H299" s="315"/>
    </row>
    <row r="300" spans="1:8" ht="35.25" customHeight="1">
      <c r="A300" s="30" t="s">
        <v>598</v>
      </c>
      <c r="B300" s="11" t="s">
        <v>820</v>
      </c>
      <c r="C300" s="226" t="s">
        <v>602</v>
      </c>
      <c r="D300" s="227" t="s">
        <v>603</v>
      </c>
      <c r="E300" s="30" t="s">
        <v>156</v>
      </c>
      <c r="F300" s="10">
        <v>4</v>
      </c>
      <c r="G300" s="314" t="s">
        <v>750</v>
      </c>
      <c r="H300" s="315"/>
    </row>
    <row r="301" spans="1:8" ht="35.25" customHeight="1">
      <c r="A301" s="30" t="s">
        <v>601</v>
      </c>
      <c r="B301" s="11" t="s">
        <v>820</v>
      </c>
      <c r="C301" s="11" t="s">
        <v>480</v>
      </c>
      <c r="D301" s="220" t="s">
        <v>481</v>
      </c>
      <c r="E301" s="11" t="s">
        <v>9</v>
      </c>
      <c r="F301" s="10">
        <f>(1.02*2)</f>
        <v>2.04</v>
      </c>
      <c r="G301" s="314" t="s">
        <v>750</v>
      </c>
      <c r="H301" s="315"/>
    </row>
    <row r="302" spans="1:8">
      <c r="A302" s="239"/>
      <c r="B302" s="28"/>
      <c r="C302" s="240"/>
      <c r="D302" s="174"/>
      <c r="E302" s="175"/>
      <c r="F302" s="175"/>
      <c r="G302" s="314"/>
      <c r="H302" s="315"/>
    </row>
    <row r="303" spans="1:8" ht="18.75" customHeight="1">
      <c r="A303" s="22">
        <v>13</v>
      </c>
      <c r="B303" s="164"/>
      <c r="C303" s="165"/>
      <c r="D303" s="166" t="s">
        <v>259</v>
      </c>
      <c r="E303" s="167"/>
      <c r="F303" s="167"/>
      <c r="G303" s="312"/>
      <c r="H303" s="313"/>
    </row>
    <row r="304" spans="1:8" ht="35.25" customHeight="1">
      <c r="A304" s="11" t="s">
        <v>639</v>
      </c>
      <c r="B304" s="11" t="s">
        <v>820</v>
      </c>
      <c r="C304" s="20" t="s">
        <v>261</v>
      </c>
      <c r="D304" s="149" t="s">
        <v>262</v>
      </c>
      <c r="E304" s="159" t="s">
        <v>9</v>
      </c>
      <c r="F304" s="159">
        <v>39.28</v>
      </c>
      <c r="G304" s="307" t="s">
        <v>753</v>
      </c>
      <c r="H304" s="308"/>
    </row>
    <row r="305" spans="1:9">
      <c r="A305" s="239"/>
      <c r="B305" s="28"/>
      <c r="C305" s="240"/>
      <c r="D305" s="174"/>
      <c r="E305" s="175"/>
      <c r="F305" s="175"/>
      <c r="G305" s="314"/>
      <c r="H305" s="315"/>
    </row>
    <row r="306" spans="1:9">
      <c r="A306" s="11"/>
      <c r="B306" s="11"/>
      <c r="C306" s="20"/>
      <c r="D306" s="176"/>
      <c r="E306" s="159"/>
      <c r="F306" s="159"/>
      <c r="G306" s="311"/>
      <c r="H306" s="311"/>
    </row>
    <row r="307" spans="1:9">
      <c r="A307" s="22" t="s">
        <v>764</v>
      </c>
      <c r="B307" s="164"/>
      <c r="C307" s="165"/>
      <c r="D307" s="179" t="s">
        <v>779</v>
      </c>
      <c r="E307" s="167"/>
      <c r="F307" s="167"/>
      <c r="G307" s="316"/>
      <c r="H307" s="316"/>
    </row>
    <row r="308" spans="1:9">
      <c r="A308" s="22">
        <v>1</v>
      </c>
      <c r="B308" s="164"/>
      <c r="C308" s="165"/>
      <c r="D308" s="166" t="s">
        <v>731</v>
      </c>
      <c r="E308" s="167"/>
      <c r="F308" s="167"/>
      <c r="G308" s="312"/>
      <c r="H308" s="313"/>
    </row>
    <row r="309" spans="1:9" ht="42" customHeight="1">
      <c r="A309" s="11" t="s">
        <v>43</v>
      </c>
      <c r="B309" s="11" t="s">
        <v>368</v>
      </c>
      <c r="C309" s="20" t="s">
        <v>780</v>
      </c>
      <c r="D309" s="191" t="s">
        <v>765</v>
      </c>
      <c r="E309" s="159" t="s">
        <v>156</v>
      </c>
      <c r="F309" s="159">
        <v>1</v>
      </c>
      <c r="G309" s="311" t="s">
        <v>823</v>
      </c>
      <c r="H309" s="311"/>
    </row>
    <row r="310" spans="1:9" ht="37.5" customHeight="1">
      <c r="A310" s="11" t="s">
        <v>44</v>
      </c>
      <c r="B310" s="11" t="s">
        <v>820</v>
      </c>
      <c r="C310" s="20" t="s">
        <v>733</v>
      </c>
      <c r="D310" s="176" t="s">
        <v>732</v>
      </c>
      <c r="E310" s="159" t="s">
        <v>150</v>
      </c>
      <c r="F310" s="159">
        <f>59.6+1.35+3</f>
        <v>63.95</v>
      </c>
      <c r="G310" s="311" t="s">
        <v>848</v>
      </c>
      <c r="H310" s="311"/>
    </row>
    <row r="311" spans="1:9" ht="32.25" customHeight="1">
      <c r="A311" s="11" t="s">
        <v>45</v>
      </c>
      <c r="B311" s="11" t="s">
        <v>820</v>
      </c>
      <c r="C311" s="11" t="s">
        <v>425</v>
      </c>
      <c r="D311" s="15" t="s">
        <v>607</v>
      </c>
      <c r="E311" s="11" t="s">
        <v>10</v>
      </c>
      <c r="F311" s="10">
        <f>F310*0.2*0.3</f>
        <v>3.8370000000000002</v>
      </c>
      <c r="G311" s="307" t="s">
        <v>846</v>
      </c>
      <c r="H311" s="308"/>
      <c r="I311" t="s">
        <v>896</v>
      </c>
    </row>
    <row r="312" spans="1:9" ht="27" customHeight="1">
      <c r="A312" s="11" t="s">
        <v>135</v>
      </c>
      <c r="B312" s="11" t="s">
        <v>820</v>
      </c>
      <c r="C312" s="11" t="s">
        <v>438</v>
      </c>
      <c r="D312" s="15" t="s">
        <v>439</v>
      </c>
      <c r="E312" s="11" t="s">
        <v>10</v>
      </c>
      <c r="F312" s="10">
        <f>F311-0.72</f>
        <v>3.117</v>
      </c>
      <c r="G312" s="307" t="s">
        <v>847</v>
      </c>
      <c r="H312" s="308"/>
    </row>
    <row r="313" spans="1:9" ht="27" customHeight="1">
      <c r="A313" s="11"/>
      <c r="B313" s="11"/>
      <c r="C313" s="20"/>
      <c r="D313" s="191"/>
      <c r="E313" s="159"/>
      <c r="F313" s="159"/>
      <c r="G313" s="311"/>
      <c r="H313" s="311"/>
    </row>
    <row r="314" spans="1:9" ht="27" customHeight="1">
      <c r="A314" s="22">
        <v>2</v>
      </c>
      <c r="B314" s="164"/>
      <c r="C314" s="165"/>
      <c r="D314" s="166" t="s">
        <v>853</v>
      </c>
      <c r="E314" s="167"/>
      <c r="F314" s="167"/>
      <c r="G314" s="309"/>
      <c r="H314" s="310"/>
    </row>
    <row r="315" spans="1:9" ht="27" customHeight="1">
      <c r="A315" s="11" t="s">
        <v>63</v>
      </c>
      <c r="B315" s="11" t="s">
        <v>820</v>
      </c>
      <c r="C315" s="11" t="s">
        <v>425</v>
      </c>
      <c r="D315" s="15" t="s">
        <v>854</v>
      </c>
      <c r="E315" s="11" t="s">
        <v>10</v>
      </c>
      <c r="F315" s="10">
        <f>1*0.7*0.25</f>
        <v>0.17499999999999999</v>
      </c>
      <c r="G315" s="311" t="s">
        <v>878</v>
      </c>
      <c r="H315" s="311"/>
    </row>
    <row r="316" spans="1:9" ht="27" customHeight="1">
      <c r="A316" s="11" t="s">
        <v>64</v>
      </c>
      <c r="B316" s="11" t="s">
        <v>820</v>
      </c>
      <c r="C316" s="11" t="s">
        <v>438</v>
      </c>
      <c r="D316" s="15" t="s">
        <v>855</v>
      </c>
      <c r="E316" s="11" t="s">
        <v>10</v>
      </c>
      <c r="F316" s="10">
        <f>1*0.7*0.05</f>
        <v>3.4999999999999996E-2</v>
      </c>
      <c r="G316" s="311" t="s">
        <v>880</v>
      </c>
      <c r="H316" s="311"/>
    </row>
    <row r="317" spans="1:9" ht="27" customHeight="1">
      <c r="A317" s="11" t="s">
        <v>146</v>
      </c>
      <c r="B317" s="11" t="s">
        <v>820</v>
      </c>
      <c r="C317" s="11" t="s">
        <v>283</v>
      </c>
      <c r="D317" s="155" t="s">
        <v>856</v>
      </c>
      <c r="E317" s="11" t="s">
        <v>10</v>
      </c>
      <c r="F317" s="10">
        <f>1*0.7*0.2</f>
        <v>0.13999999999999999</v>
      </c>
      <c r="G317" s="311" t="s">
        <v>879</v>
      </c>
      <c r="H317" s="311"/>
    </row>
    <row r="318" spans="1:9" ht="27" customHeight="1">
      <c r="A318" s="11" t="s">
        <v>147</v>
      </c>
      <c r="B318" s="11" t="s">
        <v>820</v>
      </c>
      <c r="C318" s="11" t="s">
        <v>306</v>
      </c>
      <c r="D318" s="15" t="s">
        <v>864</v>
      </c>
      <c r="E318" s="11" t="s">
        <v>10</v>
      </c>
      <c r="F318" s="10">
        <f>F317</f>
        <v>0.13999999999999999</v>
      </c>
      <c r="G318" s="311" t="s">
        <v>879</v>
      </c>
      <c r="H318" s="311"/>
    </row>
    <row r="319" spans="1:9" ht="27" customHeight="1">
      <c r="A319" s="11" t="s">
        <v>311</v>
      </c>
      <c r="B319" s="11" t="s">
        <v>820</v>
      </c>
      <c r="C319" s="11" t="s">
        <v>307</v>
      </c>
      <c r="D319" s="155" t="s">
        <v>857</v>
      </c>
      <c r="E319" s="11" t="s">
        <v>293</v>
      </c>
      <c r="F319" s="10">
        <f>16.2*0.25</f>
        <v>4.05</v>
      </c>
      <c r="G319" s="311" t="s">
        <v>881</v>
      </c>
      <c r="H319" s="311"/>
    </row>
    <row r="320" spans="1:9" ht="27" customHeight="1">
      <c r="A320" s="11" t="s">
        <v>312</v>
      </c>
      <c r="B320" s="11" t="s">
        <v>820</v>
      </c>
      <c r="C320" s="11" t="s">
        <v>859</v>
      </c>
      <c r="D320" s="155" t="s">
        <v>858</v>
      </c>
      <c r="E320" s="11" t="s">
        <v>9</v>
      </c>
      <c r="F320" s="10">
        <f>2*0.8</f>
        <v>1.6</v>
      </c>
      <c r="G320" s="311" t="s">
        <v>882</v>
      </c>
      <c r="H320" s="311"/>
    </row>
    <row r="321" spans="1:8" ht="27" customHeight="1">
      <c r="A321" s="11" t="s">
        <v>313</v>
      </c>
      <c r="B321" s="11" t="s">
        <v>820</v>
      </c>
      <c r="C321" s="11" t="s">
        <v>860</v>
      </c>
      <c r="D321" s="155" t="s">
        <v>861</v>
      </c>
      <c r="E321" s="11" t="s">
        <v>9</v>
      </c>
      <c r="F321" s="10">
        <f>(0.8+0.8+0.5)*2</f>
        <v>4.2</v>
      </c>
      <c r="G321" s="311" t="s">
        <v>883</v>
      </c>
      <c r="H321" s="311"/>
    </row>
    <row r="322" spans="1:8" ht="27" customHeight="1">
      <c r="A322" s="11" t="s">
        <v>314</v>
      </c>
      <c r="B322" s="11" t="s">
        <v>820</v>
      </c>
      <c r="C322" s="11" t="s">
        <v>281</v>
      </c>
      <c r="D322" s="155" t="s">
        <v>862</v>
      </c>
      <c r="E322" s="11" t="s">
        <v>9</v>
      </c>
      <c r="F322" s="10">
        <f>F321</f>
        <v>4.2</v>
      </c>
      <c r="G322" s="311" t="s">
        <v>884</v>
      </c>
      <c r="H322" s="311"/>
    </row>
    <row r="323" spans="1:8" ht="27" customHeight="1">
      <c r="A323" s="11" t="s">
        <v>317</v>
      </c>
      <c r="B323" s="11" t="s">
        <v>820</v>
      </c>
      <c r="C323" s="11" t="s">
        <v>283</v>
      </c>
      <c r="D323" s="155" t="s">
        <v>863</v>
      </c>
      <c r="E323" s="11" t="s">
        <v>10</v>
      </c>
      <c r="F323" s="10">
        <f>(0.6*0.95*0.06)+0.52</f>
        <v>0.55420000000000003</v>
      </c>
      <c r="G323" s="311" t="s">
        <v>885</v>
      </c>
      <c r="H323" s="311"/>
    </row>
    <row r="324" spans="1:8" ht="27" customHeight="1">
      <c r="A324" s="11" t="s">
        <v>341</v>
      </c>
      <c r="B324" s="11" t="s">
        <v>820</v>
      </c>
      <c r="C324" s="11" t="s">
        <v>306</v>
      </c>
      <c r="D324" s="15" t="s">
        <v>886</v>
      </c>
      <c r="E324" s="11" t="s">
        <v>10</v>
      </c>
      <c r="F324" s="10">
        <f>F323</f>
        <v>0.55420000000000003</v>
      </c>
      <c r="G324" s="311" t="s">
        <v>885</v>
      </c>
      <c r="H324" s="311"/>
    </row>
    <row r="325" spans="1:8" ht="27" customHeight="1">
      <c r="A325" s="11" t="s">
        <v>342</v>
      </c>
      <c r="B325" s="11" t="s">
        <v>820</v>
      </c>
      <c r="C325" s="11" t="s">
        <v>307</v>
      </c>
      <c r="D325" s="155" t="s">
        <v>865</v>
      </c>
      <c r="E325" s="11" t="s">
        <v>293</v>
      </c>
      <c r="F325" s="10">
        <f>14.8*0.25</f>
        <v>3.7</v>
      </c>
      <c r="G325" s="311" t="s">
        <v>887</v>
      </c>
      <c r="H325" s="311"/>
    </row>
    <row r="326" spans="1:8" ht="27" customHeight="1">
      <c r="A326" s="11" t="s">
        <v>343</v>
      </c>
      <c r="B326" s="11" t="s">
        <v>820</v>
      </c>
      <c r="C326" s="11" t="s">
        <v>867</v>
      </c>
      <c r="D326" s="155" t="s">
        <v>866</v>
      </c>
      <c r="E326" s="11" t="s">
        <v>9</v>
      </c>
      <c r="F326" s="10">
        <f>0.6*0.95</f>
        <v>0.56999999999999995</v>
      </c>
      <c r="G326" s="311" t="s">
        <v>888</v>
      </c>
      <c r="H326" s="311"/>
    </row>
    <row r="327" spans="1:8" ht="27" customHeight="1">
      <c r="A327" s="11" t="s">
        <v>344</v>
      </c>
      <c r="B327" s="11" t="s">
        <v>820</v>
      </c>
      <c r="C327" s="11" t="s">
        <v>869</v>
      </c>
      <c r="D327" s="155" t="s">
        <v>868</v>
      </c>
      <c r="E327" s="11" t="s">
        <v>9</v>
      </c>
      <c r="F327" s="10">
        <f>F322</f>
        <v>4.2</v>
      </c>
      <c r="G327" s="311" t="s">
        <v>889</v>
      </c>
      <c r="H327" s="311"/>
    </row>
    <row r="329" spans="1:8">
      <c r="A329" s="49" t="s">
        <v>902</v>
      </c>
    </row>
    <row r="331" spans="1:8">
      <c r="F331" s="18"/>
      <c r="G331" s="18"/>
      <c r="H331" s="41"/>
    </row>
    <row r="332" spans="1:8">
      <c r="F332" s="18"/>
      <c r="G332" s="18"/>
      <c r="H332" s="41"/>
    </row>
    <row r="333" spans="1:8">
      <c r="F333" s="280" t="s">
        <v>48</v>
      </c>
      <c r="G333" s="280"/>
      <c r="H333" s="281"/>
    </row>
    <row r="334" spans="1:8">
      <c r="F334" s="282" t="s">
        <v>49</v>
      </c>
      <c r="G334" s="282"/>
      <c r="H334" s="283"/>
    </row>
    <row r="335" spans="1:8">
      <c r="F335" s="278" t="s">
        <v>134</v>
      </c>
      <c r="G335" s="278"/>
      <c r="H335" s="279"/>
    </row>
    <row r="484" spans="1:8">
      <c r="B484" s="1"/>
      <c r="C484" s="1"/>
      <c r="D484" s="1"/>
      <c r="E484" s="1"/>
      <c r="F484" s="1"/>
      <c r="G484" s="1"/>
      <c r="H484" s="1"/>
    </row>
    <row r="485" spans="1:8">
      <c r="B485" s="1"/>
      <c r="C485" s="1"/>
      <c r="D485" s="1"/>
      <c r="E485" s="1"/>
      <c r="F485" s="1"/>
      <c r="G485" s="1"/>
      <c r="H485" s="1"/>
    </row>
    <row r="486" spans="1:8">
      <c r="A486" s="1"/>
      <c r="B486" s="1"/>
      <c r="C486" s="1"/>
      <c r="D486" s="1"/>
      <c r="E486" s="1"/>
      <c r="F486" s="1"/>
      <c r="G486" s="1"/>
      <c r="H486" s="1"/>
    </row>
    <row r="487" spans="1:8">
      <c r="A487" s="1"/>
      <c r="B487" s="1"/>
      <c r="C487" s="1"/>
      <c r="D487" s="1"/>
      <c r="E487" s="1"/>
      <c r="F487" s="1"/>
      <c r="G487" s="1"/>
      <c r="H487" s="1"/>
    </row>
    <row r="488" spans="1:8">
      <c r="A488" s="1"/>
      <c r="B488" s="1"/>
      <c r="C488" s="1"/>
      <c r="D488" s="1"/>
      <c r="E488" s="1"/>
      <c r="F488" s="1"/>
      <c r="G488" s="1"/>
      <c r="H488" s="1"/>
    </row>
    <row r="489" spans="1:8">
      <c r="A489" s="1"/>
      <c r="B489" s="1"/>
      <c r="C489" s="1"/>
      <c r="D489" s="1"/>
      <c r="E489" s="1"/>
      <c r="F489" s="1"/>
      <c r="G489" s="1"/>
      <c r="H489" s="1"/>
    </row>
    <row r="490" spans="1:8">
      <c r="A490" s="1"/>
      <c r="B490" s="1"/>
      <c r="C490" s="1"/>
      <c r="D490" s="1"/>
      <c r="E490" s="1"/>
      <c r="F490" s="1"/>
      <c r="G490" s="1"/>
      <c r="H490" s="1"/>
    </row>
    <row r="491" spans="1:8">
      <c r="A491" s="1"/>
      <c r="B491" s="1"/>
      <c r="C491" s="1"/>
      <c r="D491" s="1"/>
      <c r="E491" s="1"/>
      <c r="F491" s="1"/>
      <c r="G491" s="1"/>
      <c r="H491" s="1"/>
    </row>
    <row r="492" spans="1:8">
      <c r="A492" s="1"/>
      <c r="B492" s="1"/>
      <c r="C492" s="1"/>
      <c r="D492" s="1"/>
      <c r="E492" s="1"/>
      <c r="F492" s="1"/>
      <c r="G492" s="1"/>
      <c r="H492" s="1"/>
    </row>
    <row r="493" spans="1:8">
      <c r="A493" s="1"/>
      <c r="B493" s="1"/>
      <c r="C493" s="1"/>
      <c r="D493" s="1"/>
      <c r="E493" s="1"/>
      <c r="F493" s="1"/>
      <c r="G493" s="1"/>
      <c r="H493" s="1"/>
    </row>
    <row r="494" spans="1:8">
      <c r="A494" s="1"/>
      <c r="B494" s="1"/>
      <c r="C494" s="1"/>
      <c r="D494" s="1"/>
      <c r="E494" s="1"/>
      <c r="F494" s="1"/>
      <c r="G494" s="1"/>
      <c r="H494" s="1"/>
    </row>
    <row r="495" spans="1:8">
      <c r="A495" s="1"/>
      <c r="B495" s="1"/>
      <c r="C495" s="1"/>
      <c r="D495" s="1"/>
      <c r="E495" s="1"/>
      <c r="F495" s="1"/>
      <c r="G495" s="1"/>
      <c r="H495" s="1"/>
    </row>
    <row r="496" spans="1:8">
      <c r="A496" s="1"/>
      <c r="B496" s="1"/>
      <c r="C496" s="1"/>
      <c r="D496" s="1"/>
      <c r="E496" s="1"/>
      <c r="F496" s="1"/>
      <c r="G496" s="1"/>
      <c r="H496" s="1"/>
    </row>
    <row r="497" spans="1:8">
      <c r="A497" s="1"/>
      <c r="B497" s="1"/>
      <c r="C497" s="1"/>
      <c r="D497" s="1"/>
      <c r="E497" s="1"/>
      <c r="F497" s="1"/>
      <c r="G497" s="1"/>
      <c r="H497" s="1"/>
    </row>
    <row r="498" spans="1:8">
      <c r="A498" s="1"/>
      <c r="B498" s="1"/>
      <c r="C498" s="1"/>
      <c r="D498" s="1"/>
      <c r="E498" s="1"/>
      <c r="F498" s="1"/>
      <c r="G498" s="1"/>
      <c r="H498" s="1"/>
    </row>
    <row r="499" spans="1:8">
      <c r="A499" s="1"/>
      <c r="B499" s="1"/>
      <c r="C499" s="1"/>
      <c r="D499" s="1"/>
      <c r="E499" s="1"/>
      <c r="F499" s="1"/>
      <c r="G499" s="1"/>
      <c r="H499" s="1"/>
    </row>
    <row r="500" spans="1:8">
      <c r="A500" s="1"/>
      <c r="B500" s="1"/>
      <c r="C500" s="1"/>
      <c r="D500" s="1"/>
      <c r="E500" s="1"/>
      <c r="F500" s="1"/>
      <c r="G500" s="1"/>
      <c r="H500" s="1"/>
    </row>
    <row r="501" spans="1:8">
      <c r="A501" s="1"/>
      <c r="B501" s="1"/>
      <c r="C501" s="1"/>
      <c r="D501" s="1"/>
      <c r="E501" s="1"/>
      <c r="F501" s="1"/>
      <c r="G501" s="1"/>
      <c r="H501" s="1"/>
    </row>
    <row r="502" spans="1:8">
      <c r="A502" s="1"/>
      <c r="B502" s="1"/>
      <c r="C502" s="1"/>
      <c r="D502" s="1"/>
      <c r="E502" s="1"/>
      <c r="F502" s="1"/>
      <c r="G502" s="1"/>
      <c r="H502" s="1"/>
    </row>
    <row r="503" spans="1:8">
      <c r="A503" s="1"/>
      <c r="B503" s="1"/>
      <c r="C503" s="1"/>
      <c r="D503" s="1"/>
      <c r="E503" s="1"/>
      <c r="F503" s="1"/>
      <c r="G503" s="1"/>
      <c r="H503" s="1"/>
    </row>
    <row r="504" spans="1:8">
      <c r="A504" s="1"/>
      <c r="B504" s="1"/>
      <c r="C504" s="1"/>
      <c r="D504" s="1"/>
      <c r="E504" s="1"/>
      <c r="F504" s="1"/>
      <c r="G504" s="1"/>
      <c r="H504" s="1"/>
    </row>
    <row r="505" spans="1:8">
      <c r="A505" s="1"/>
      <c r="B505" s="1"/>
      <c r="C505" s="1"/>
      <c r="D505" s="1"/>
      <c r="E505" s="1"/>
      <c r="F505" s="1"/>
      <c r="G505" s="1"/>
      <c r="H505" s="1"/>
    </row>
    <row r="506" spans="1:8">
      <c r="A506" s="1"/>
      <c r="B506" s="1"/>
      <c r="C506" s="1"/>
      <c r="D506" s="1"/>
      <c r="E506" s="1"/>
      <c r="F506" s="1"/>
      <c r="G506" s="1"/>
      <c r="H506" s="1"/>
    </row>
    <row r="507" spans="1:8">
      <c r="A507" s="1"/>
      <c r="B507" s="1"/>
      <c r="C507" s="1"/>
      <c r="D507" s="1"/>
      <c r="E507" s="1"/>
      <c r="F507" s="1"/>
      <c r="G507" s="1"/>
      <c r="H507" s="1"/>
    </row>
    <row r="508" spans="1:8">
      <c r="A508" s="1"/>
      <c r="B508" s="1"/>
      <c r="C508" s="1"/>
      <c r="D508" s="1"/>
      <c r="E508" s="1"/>
      <c r="F508" s="1"/>
      <c r="G508" s="1"/>
      <c r="H508" s="1"/>
    </row>
    <row r="509" spans="1:8">
      <c r="A509" s="1"/>
      <c r="B509" s="1"/>
      <c r="C509" s="1"/>
      <c r="D509" s="1"/>
      <c r="E509" s="1"/>
      <c r="F509" s="1"/>
      <c r="G509" s="1"/>
      <c r="H509" s="1"/>
    </row>
    <row r="510" spans="1:8">
      <c r="A510" s="1"/>
      <c r="B510" s="1"/>
      <c r="C510" s="1"/>
      <c r="D510" s="1"/>
      <c r="E510" s="1"/>
      <c r="F510" s="1"/>
      <c r="G510" s="1"/>
      <c r="H510" s="1"/>
    </row>
    <row r="511" spans="1:8">
      <c r="A511" s="1"/>
      <c r="B511" s="1"/>
      <c r="C511" s="1"/>
      <c r="D511" s="1"/>
      <c r="E511" s="1"/>
      <c r="F511" s="1"/>
      <c r="G511" s="1"/>
      <c r="H511" s="1"/>
    </row>
    <row r="512" spans="1:8">
      <c r="A512" s="1"/>
      <c r="B512" s="1"/>
      <c r="C512" s="1"/>
      <c r="D512" s="1"/>
      <c r="E512" s="1"/>
      <c r="F512" s="1"/>
      <c r="G512" s="1"/>
      <c r="H512" s="1"/>
    </row>
    <row r="513" spans="1:8">
      <c r="A513" s="1"/>
      <c r="B513" s="1"/>
      <c r="C513" s="1"/>
      <c r="D513" s="1"/>
      <c r="E513" s="1"/>
      <c r="F513" s="1"/>
      <c r="G513" s="1"/>
      <c r="H513" s="1"/>
    </row>
    <row r="514" spans="1:8">
      <c r="A514" s="1"/>
      <c r="B514" s="1"/>
      <c r="C514" s="1"/>
      <c r="D514" s="1"/>
      <c r="E514" s="1"/>
      <c r="F514" s="1"/>
      <c r="G514" s="1"/>
      <c r="H514" s="1"/>
    </row>
    <row r="515" spans="1:8">
      <c r="A515" s="1"/>
      <c r="B515" s="1"/>
      <c r="C515" s="1"/>
      <c r="D515" s="1"/>
      <c r="E515" s="1"/>
      <c r="F515" s="1"/>
      <c r="G515" s="1"/>
      <c r="H515" s="1"/>
    </row>
    <row r="516" spans="1:8">
      <c r="A516" s="1"/>
      <c r="B516" s="1"/>
      <c r="C516" s="1"/>
      <c r="D516" s="1"/>
      <c r="E516" s="1"/>
      <c r="F516" s="1"/>
      <c r="G516" s="1"/>
      <c r="H516" s="1"/>
    </row>
    <row r="517" spans="1:8">
      <c r="A517" s="1"/>
      <c r="B517" s="1"/>
      <c r="C517" s="1"/>
      <c r="D517" s="1"/>
      <c r="E517" s="1"/>
      <c r="F517" s="1"/>
      <c r="G517" s="1"/>
      <c r="H517" s="1"/>
    </row>
    <row r="518" spans="1:8">
      <c r="A518" s="1"/>
      <c r="B518" s="1"/>
      <c r="C518" s="1"/>
      <c r="D518" s="1"/>
      <c r="E518" s="1"/>
      <c r="F518" s="1"/>
      <c r="G518" s="1"/>
      <c r="H518" s="1"/>
    </row>
    <row r="519" spans="1:8">
      <c r="A519" s="1"/>
      <c r="B519" s="1"/>
      <c r="C519" s="1"/>
      <c r="D519" s="1"/>
      <c r="E519" s="1"/>
      <c r="F519" s="1"/>
      <c r="G519" s="1"/>
      <c r="H519" s="1"/>
    </row>
    <row r="520" spans="1:8">
      <c r="A520" s="1"/>
      <c r="B520" s="1"/>
      <c r="C520" s="1"/>
      <c r="D520" s="1"/>
      <c r="E520" s="1"/>
      <c r="F520" s="1"/>
      <c r="G520" s="1"/>
      <c r="H520" s="1"/>
    </row>
    <row r="521" spans="1:8">
      <c r="A521" s="1"/>
      <c r="B521" s="1"/>
      <c r="C521" s="1"/>
      <c r="D521" s="1"/>
      <c r="E521" s="1"/>
      <c r="F521" s="1"/>
      <c r="G521" s="1"/>
      <c r="H521" s="1"/>
    </row>
    <row r="522" spans="1:8">
      <c r="A522" s="1"/>
      <c r="B522" s="1"/>
      <c r="C522" s="1"/>
      <c r="D522" s="1"/>
      <c r="E522" s="1"/>
      <c r="F522" s="1"/>
      <c r="G522" s="1"/>
      <c r="H522" s="1"/>
    </row>
    <row r="523" spans="1:8">
      <c r="A523" s="1"/>
      <c r="B523" s="1"/>
      <c r="C523" s="1"/>
      <c r="D523" s="1"/>
      <c r="E523" s="1"/>
      <c r="F523" s="1"/>
      <c r="G523" s="1"/>
      <c r="H523" s="1"/>
    </row>
    <row r="524" spans="1:8">
      <c r="A524" s="1"/>
      <c r="B524" s="1"/>
      <c r="C524" s="1"/>
      <c r="D524" s="1"/>
      <c r="E524" s="1"/>
      <c r="F524" s="1"/>
      <c r="G524" s="1"/>
      <c r="H524" s="1"/>
    </row>
    <row r="525" spans="1:8">
      <c r="A525" s="1"/>
      <c r="B525" s="1"/>
      <c r="C525" s="1"/>
      <c r="D525" s="1"/>
      <c r="E525" s="1"/>
      <c r="F525" s="1"/>
      <c r="G525" s="1"/>
      <c r="H525" s="1"/>
    </row>
    <row r="526" spans="1:8">
      <c r="A526" s="1"/>
      <c r="B526" s="1"/>
      <c r="C526" s="1"/>
      <c r="D526" s="1"/>
      <c r="E526" s="1"/>
      <c r="F526" s="1"/>
      <c r="G526" s="1"/>
      <c r="H526" s="1"/>
    </row>
    <row r="527" spans="1:8">
      <c r="A527" s="1"/>
      <c r="B527" s="1"/>
      <c r="C527" s="1"/>
      <c r="D527" s="1"/>
      <c r="E527" s="1"/>
      <c r="F527" s="1"/>
      <c r="G527" s="1"/>
      <c r="H527" s="1"/>
    </row>
    <row r="528" spans="1:8">
      <c r="A528" s="1"/>
      <c r="B528" s="1"/>
      <c r="C528" s="1"/>
      <c r="D528" s="1"/>
      <c r="E528" s="1"/>
      <c r="F528" s="1"/>
      <c r="G528" s="1"/>
      <c r="H528" s="1"/>
    </row>
    <row r="529" spans="1:8">
      <c r="A529" s="1"/>
      <c r="B529" s="1"/>
      <c r="C529" s="1"/>
      <c r="D529" s="1"/>
      <c r="E529" s="1"/>
      <c r="F529" s="1"/>
      <c r="G529" s="1"/>
      <c r="H529" s="1"/>
    </row>
    <row r="530" spans="1:8">
      <c r="A530" s="1"/>
      <c r="B530" s="1"/>
      <c r="C530" s="1"/>
      <c r="D530" s="1"/>
      <c r="E530" s="1"/>
      <c r="F530" s="1"/>
      <c r="G530" s="1"/>
      <c r="H530" s="1"/>
    </row>
    <row r="531" spans="1:8">
      <c r="A531" s="1"/>
      <c r="B531" s="1"/>
      <c r="C531" s="1"/>
      <c r="D531" s="1"/>
      <c r="E531" s="1"/>
      <c r="F531" s="1"/>
      <c r="G531" s="1"/>
      <c r="H531" s="1"/>
    </row>
    <row r="532" spans="1:8">
      <c r="A532" s="1"/>
      <c r="B532" s="1"/>
      <c r="C532" s="1"/>
      <c r="D532" s="1"/>
      <c r="E532" s="1"/>
      <c r="F532" s="1"/>
      <c r="G532" s="1"/>
      <c r="H532" s="1"/>
    </row>
    <row r="533" spans="1:8">
      <c r="A533" s="1"/>
      <c r="B533" s="1"/>
      <c r="C533" s="1"/>
      <c r="D533" s="1"/>
      <c r="E533" s="1"/>
      <c r="F533" s="1"/>
      <c r="G533" s="1"/>
      <c r="H533" s="1"/>
    </row>
    <row r="534" spans="1:8">
      <c r="A534" s="1"/>
      <c r="B534" s="1"/>
      <c r="C534" s="1"/>
      <c r="D534" s="1"/>
      <c r="E534" s="1"/>
      <c r="F534" s="1"/>
      <c r="G534" s="1"/>
      <c r="H534" s="1"/>
    </row>
    <row r="535" spans="1:8">
      <c r="A535" s="1"/>
      <c r="B535" s="1"/>
      <c r="C535" s="1"/>
      <c r="D535" s="1"/>
      <c r="E535" s="1"/>
      <c r="F535" s="1"/>
      <c r="G535" s="1"/>
      <c r="H535" s="1"/>
    </row>
    <row r="536" spans="1:8">
      <c r="A536" s="1"/>
      <c r="B536" s="1"/>
      <c r="C536" s="1"/>
      <c r="D536" s="1"/>
      <c r="E536" s="1"/>
      <c r="F536" s="1"/>
      <c r="G536" s="1"/>
      <c r="H536" s="1"/>
    </row>
    <row r="537" spans="1:8">
      <c r="A537" s="1"/>
      <c r="B537" s="1"/>
      <c r="C537" s="1"/>
      <c r="D537" s="1"/>
      <c r="E537" s="1"/>
      <c r="F537" s="1"/>
      <c r="G537" s="1"/>
      <c r="H537" s="1"/>
    </row>
    <row r="538" spans="1:8">
      <c r="A538" s="1"/>
      <c r="B538" s="1"/>
      <c r="C538" s="1"/>
      <c r="D538" s="1"/>
      <c r="E538" s="1"/>
      <c r="F538" s="1"/>
      <c r="G538" s="1"/>
      <c r="H538" s="1"/>
    </row>
    <row r="539" spans="1:8">
      <c r="A539" s="1"/>
      <c r="B539" s="1"/>
      <c r="C539" s="1"/>
      <c r="D539" s="1"/>
      <c r="E539" s="1"/>
      <c r="F539" s="1"/>
      <c r="G539" s="1"/>
      <c r="H539" s="1"/>
    </row>
    <row r="540" spans="1:8">
      <c r="A540" s="1"/>
      <c r="B540" s="1"/>
      <c r="C540" s="1"/>
      <c r="D540" s="1"/>
      <c r="E540" s="1"/>
      <c r="F540" s="1"/>
      <c r="G540" s="1"/>
      <c r="H540" s="1"/>
    </row>
    <row r="541" spans="1:8">
      <c r="A541" s="1"/>
      <c r="B541" s="1"/>
      <c r="C541" s="1"/>
      <c r="D541" s="1"/>
      <c r="E541" s="1"/>
      <c r="F541" s="1"/>
      <c r="G541" s="1"/>
      <c r="H541" s="1"/>
    </row>
    <row r="542" spans="1:8">
      <c r="A542" s="1"/>
      <c r="B542" s="1"/>
      <c r="C542" s="1"/>
      <c r="D542" s="1"/>
      <c r="E542" s="1"/>
      <c r="F542" s="1"/>
      <c r="G542" s="1"/>
      <c r="H542" s="1"/>
    </row>
    <row r="543" spans="1:8">
      <c r="A543" s="1"/>
      <c r="B543" s="1"/>
      <c r="C543" s="1"/>
      <c r="D543" s="1"/>
      <c r="E543" s="1"/>
      <c r="F543" s="1"/>
      <c r="G543" s="1"/>
      <c r="H543" s="1"/>
    </row>
    <row r="544" spans="1:8">
      <c r="A544" s="1"/>
      <c r="B544" s="1"/>
      <c r="C544" s="1"/>
      <c r="D544" s="1"/>
      <c r="E544" s="1"/>
      <c r="F544" s="1"/>
      <c r="G544" s="1"/>
      <c r="H544" s="1"/>
    </row>
    <row r="545" spans="1:8">
      <c r="A545" s="1"/>
      <c r="B545" s="1"/>
      <c r="C545" s="1"/>
      <c r="D545" s="1"/>
      <c r="E545" s="1"/>
      <c r="F545" s="1"/>
      <c r="G545" s="1"/>
      <c r="H545" s="1"/>
    </row>
    <row r="546" spans="1:8">
      <c r="A546" s="1"/>
      <c r="B546" s="1"/>
      <c r="C546" s="1"/>
      <c r="D546" s="1"/>
      <c r="E546" s="1"/>
      <c r="F546" s="1"/>
      <c r="G546" s="1"/>
      <c r="H546" s="1"/>
    </row>
    <row r="547" spans="1:8">
      <c r="A547" s="1"/>
      <c r="B547" s="1"/>
      <c r="C547" s="1"/>
      <c r="D547" s="1"/>
      <c r="E547" s="1"/>
      <c r="F547" s="1"/>
      <c r="G547" s="1"/>
      <c r="H547" s="1"/>
    </row>
    <row r="548" spans="1:8">
      <c r="A548" s="1"/>
      <c r="B548" s="1"/>
      <c r="C548" s="1"/>
      <c r="D548" s="1"/>
      <c r="E548" s="1"/>
      <c r="F548" s="1"/>
      <c r="G548" s="1"/>
      <c r="H548" s="1"/>
    </row>
    <row r="549" spans="1:8">
      <c r="A549" s="1"/>
      <c r="B549" s="1"/>
      <c r="C549" s="1"/>
      <c r="D549" s="1"/>
      <c r="E549" s="1"/>
      <c r="F549" s="1"/>
      <c r="G549" s="1"/>
      <c r="H549" s="1"/>
    </row>
    <row r="550" spans="1:8">
      <c r="A550" s="1"/>
      <c r="B550" s="1"/>
      <c r="C550" s="1"/>
      <c r="D550" s="1"/>
      <c r="E550" s="1"/>
      <c r="F550" s="1"/>
      <c r="G550" s="1"/>
      <c r="H550" s="1"/>
    </row>
    <row r="551" spans="1:8">
      <c r="A551" s="1"/>
      <c r="B551" s="1"/>
      <c r="C551" s="1"/>
      <c r="D551" s="1"/>
      <c r="E551" s="1"/>
      <c r="F551" s="1"/>
      <c r="G551" s="1"/>
      <c r="H551" s="1"/>
    </row>
    <row r="552" spans="1:8">
      <c r="A552" s="1"/>
      <c r="B552" s="1"/>
      <c r="C552" s="1"/>
      <c r="D552" s="1"/>
      <c r="E552" s="1"/>
      <c r="F552" s="1"/>
      <c r="G552" s="1"/>
      <c r="H552" s="1"/>
    </row>
    <row r="553" spans="1:8">
      <c r="A553" s="1"/>
      <c r="B553" s="1"/>
      <c r="C553" s="1"/>
      <c r="D553" s="1"/>
      <c r="E553" s="1"/>
      <c r="F553" s="1"/>
      <c r="G553" s="1"/>
      <c r="H553" s="1"/>
    </row>
    <row r="554" spans="1:8">
      <c r="A554" s="1"/>
      <c r="B554" s="1"/>
      <c r="C554" s="1"/>
      <c r="D554" s="1"/>
      <c r="E554" s="1"/>
      <c r="F554" s="1"/>
      <c r="G554" s="1"/>
      <c r="H554" s="1"/>
    </row>
    <row r="555" spans="1:8">
      <c r="A555" s="1"/>
      <c r="B555" s="1"/>
      <c r="C555" s="1"/>
      <c r="D555" s="1"/>
      <c r="E555" s="1"/>
      <c r="F555" s="1"/>
      <c r="G555" s="1"/>
      <c r="H555" s="1"/>
    </row>
    <row r="556" spans="1:8">
      <c r="A556" s="1"/>
      <c r="B556" s="1"/>
      <c r="C556" s="1"/>
      <c r="D556" s="1"/>
      <c r="E556" s="1"/>
      <c r="F556" s="1"/>
      <c r="G556" s="1"/>
      <c r="H556" s="1"/>
    </row>
    <row r="557" spans="1:8">
      <c r="A557" s="1"/>
      <c r="B557" s="1"/>
      <c r="C557" s="1"/>
      <c r="D557" s="1"/>
      <c r="E557" s="1"/>
      <c r="F557" s="1"/>
      <c r="G557" s="1"/>
      <c r="H557" s="1"/>
    </row>
    <row r="558" spans="1:8">
      <c r="A558" s="1"/>
      <c r="B558" s="1"/>
      <c r="C558" s="1"/>
      <c r="D558" s="1"/>
      <c r="E558" s="1"/>
      <c r="F558" s="1"/>
      <c r="G558" s="1"/>
      <c r="H558" s="1"/>
    </row>
    <row r="559" spans="1:8">
      <c r="A559" s="1"/>
      <c r="B559" s="1"/>
      <c r="C559" s="1"/>
      <c r="D559" s="1"/>
      <c r="E559" s="1"/>
      <c r="F559" s="1"/>
      <c r="G559" s="1"/>
      <c r="H559" s="1"/>
    </row>
    <row r="560" spans="1:8">
      <c r="A560" s="1"/>
      <c r="B560" s="1"/>
      <c r="C560" s="1"/>
      <c r="D560" s="1"/>
      <c r="E560" s="1"/>
      <c r="F560" s="1"/>
      <c r="G560" s="1"/>
      <c r="H560" s="1"/>
    </row>
    <row r="561" spans="1:8">
      <c r="A561" s="1"/>
      <c r="B561" s="1"/>
      <c r="C561" s="1"/>
      <c r="D561" s="1"/>
      <c r="E561" s="1"/>
      <c r="F561" s="1"/>
      <c r="G561" s="1"/>
      <c r="H561" s="1"/>
    </row>
    <row r="562" spans="1:8">
      <c r="A562" s="1"/>
      <c r="B562" s="1"/>
      <c r="C562" s="1"/>
      <c r="D562" s="1"/>
      <c r="E562" s="1"/>
      <c r="F562" s="1"/>
      <c r="G562" s="1"/>
      <c r="H562" s="1"/>
    </row>
    <row r="563" spans="1:8">
      <c r="A563" s="1"/>
      <c r="B563" s="1"/>
      <c r="C563" s="1"/>
      <c r="D563" s="1"/>
      <c r="E563" s="1"/>
      <c r="F563" s="1"/>
      <c r="G563" s="1"/>
      <c r="H563" s="1"/>
    </row>
    <row r="564" spans="1:8">
      <c r="A564" s="1"/>
      <c r="B564" s="1"/>
      <c r="C564" s="1"/>
      <c r="D564" s="1"/>
      <c r="E564" s="1"/>
      <c r="F564" s="1"/>
      <c r="G564" s="1"/>
      <c r="H564" s="1"/>
    </row>
    <row r="565" spans="1:8">
      <c r="A565" s="1"/>
      <c r="B565" s="1"/>
      <c r="C565" s="1"/>
      <c r="D565" s="1"/>
      <c r="E565" s="1"/>
      <c r="F565" s="1"/>
      <c r="G565" s="1"/>
      <c r="H565" s="1"/>
    </row>
    <row r="566" spans="1:8">
      <c r="A566" s="1"/>
      <c r="B566" s="1"/>
      <c r="C566" s="1"/>
      <c r="D566" s="1"/>
      <c r="E566" s="1"/>
      <c r="F566" s="1"/>
      <c r="G566" s="1"/>
      <c r="H566" s="1"/>
    </row>
    <row r="567" spans="1:8">
      <c r="A567" s="1"/>
      <c r="B567" s="1"/>
      <c r="C567" s="1"/>
      <c r="D567" s="1"/>
      <c r="E567" s="1"/>
      <c r="F567" s="1"/>
      <c r="G567" s="1"/>
      <c r="H567" s="1"/>
    </row>
    <row r="568" spans="1:8">
      <c r="A568" s="1"/>
      <c r="B568" s="1"/>
      <c r="C568" s="1"/>
      <c r="D568" s="1"/>
      <c r="E568" s="1"/>
      <c r="F568" s="1"/>
      <c r="G568" s="1"/>
      <c r="H568" s="1"/>
    </row>
    <row r="569" spans="1:8">
      <c r="A569" s="1"/>
      <c r="B569" s="1"/>
      <c r="C569" s="1"/>
      <c r="D569" s="1"/>
      <c r="E569" s="1"/>
      <c r="F569" s="1"/>
      <c r="G569" s="1"/>
      <c r="H569" s="1"/>
    </row>
    <row r="570" spans="1:8">
      <c r="A570" s="1"/>
      <c r="B570" s="1"/>
      <c r="C570" s="1"/>
      <c r="D570" s="1"/>
      <c r="E570" s="1"/>
      <c r="F570" s="1"/>
      <c r="G570" s="1"/>
      <c r="H570" s="1"/>
    </row>
    <row r="571" spans="1:8">
      <c r="A571" s="1"/>
      <c r="B571" s="1"/>
      <c r="C571" s="1"/>
      <c r="D571" s="1"/>
      <c r="E571" s="1"/>
      <c r="F571" s="1"/>
      <c r="G571" s="1"/>
      <c r="H571" s="1"/>
    </row>
    <row r="572" spans="1:8">
      <c r="A572" s="1"/>
      <c r="B572" s="1"/>
      <c r="C572" s="1"/>
      <c r="D572" s="1"/>
      <c r="E572" s="1"/>
      <c r="F572" s="1"/>
      <c r="G572" s="1"/>
      <c r="H572" s="1"/>
    </row>
    <row r="573" spans="1:8">
      <c r="A573" s="1"/>
      <c r="B573" s="1"/>
      <c r="C573" s="1"/>
      <c r="D573" s="1"/>
      <c r="E573" s="1"/>
      <c r="F573" s="1"/>
      <c r="G573" s="1"/>
      <c r="H573" s="1"/>
    </row>
    <row r="574" spans="1:8">
      <c r="A574" s="1"/>
      <c r="B574" s="1"/>
      <c r="C574" s="1"/>
      <c r="D574" s="1"/>
      <c r="E574" s="1"/>
      <c r="F574" s="1"/>
      <c r="G574" s="1"/>
      <c r="H574" s="1"/>
    </row>
    <row r="575" spans="1:8">
      <c r="A575" s="1"/>
      <c r="B575" s="1"/>
      <c r="C575" s="1"/>
      <c r="D575" s="1"/>
      <c r="E575" s="1"/>
      <c r="F575" s="1"/>
      <c r="G575" s="1"/>
      <c r="H575" s="1"/>
    </row>
    <row r="576" spans="1:8">
      <c r="A576" s="1"/>
      <c r="B576" s="1"/>
      <c r="C576" s="1"/>
      <c r="D576" s="1"/>
      <c r="E576" s="1"/>
      <c r="F576" s="1"/>
      <c r="G576" s="1"/>
      <c r="H576" s="1"/>
    </row>
    <row r="577" spans="1:8">
      <c r="A577" s="1"/>
      <c r="B577" s="1"/>
      <c r="C577" s="1"/>
      <c r="D577" s="1"/>
      <c r="E577" s="1"/>
      <c r="F577" s="1"/>
      <c r="G577" s="1"/>
      <c r="H577" s="1"/>
    </row>
    <row r="578" spans="1:8">
      <c r="A578" s="1"/>
      <c r="B578" s="1"/>
      <c r="C578" s="1"/>
      <c r="D578" s="1"/>
      <c r="E578" s="1"/>
      <c r="F578" s="1"/>
      <c r="G578" s="1"/>
      <c r="H578" s="1"/>
    </row>
    <row r="579" spans="1:8">
      <c r="A579" s="1"/>
      <c r="B579" s="1"/>
      <c r="C579" s="1"/>
      <c r="D579" s="1"/>
      <c r="E579" s="1"/>
      <c r="F579" s="1"/>
      <c r="G579" s="1"/>
      <c r="H579" s="1"/>
    </row>
    <row r="580" spans="1:8">
      <c r="A580" s="1"/>
      <c r="B580" s="1"/>
      <c r="C580" s="1"/>
      <c r="D580" s="1"/>
      <c r="E580" s="1"/>
      <c r="F580" s="1"/>
      <c r="G580" s="1"/>
      <c r="H580" s="1"/>
    </row>
    <row r="581" spans="1:8">
      <c r="A581" s="1"/>
      <c r="B581" s="1"/>
      <c r="C581" s="1"/>
      <c r="D581" s="1"/>
      <c r="E581" s="1"/>
      <c r="F581" s="1"/>
      <c r="G581" s="1"/>
      <c r="H581" s="1"/>
    </row>
    <row r="582" spans="1:8">
      <c r="A582" s="1"/>
      <c r="B582" s="1"/>
      <c r="C582" s="1"/>
      <c r="D582" s="1"/>
      <c r="E582" s="1"/>
      <c r="F582" s="1"/>
      <c r="G582" s="1"/>
      <c r="H582" s="1"/>
    </row>
    <row r="583" spans="1:8">
      <c r="A583" s="1"/>
      <c r="B583" s="1"/>
      <c r="C583" s="1"/>
      <c r="D583" s="1"/>
      <c r="E583" s="1"/>
      <c r="F583" s="1"/>
      <c r="G583" s="1"/>
      <c r="H583" s="1"/>
    </row>
    <row r="584" spans="1:8">
      <c r="A584" s="1"/>
      <c r="B584" s="1"/>
      <c r="C584" s="1"/>
      <c r="D584" s="1"/>
      <c r="E584" s="1"/>
      <c r="F584" s="1"/>
      <c r="G584" s="1"/>
      <c r="H584" s="1"/>
    </row>
    <row r="585" spans="1:8">
      <c r="A585" s="1"/>
      <c r="B585" s="1"/>
      <c r="C585" s="1"/>
      <c r="D585" s="1"/>
      <c r="E585" s="1"/>
      <c r="F585" s="1"/>
      <c r="G585" s="1"/>
      <c r="H585" s="1"/>
    </row>
    <row r="586" spans="1:8">
      <c r="A586" s="1"/>
      <c r="B586" s="1"/>
      <c r="C586" s="1"/>
      <c r="D586" s="1"/>
      <c r="E586" s="1"/>
      <c r="F586" s="1"/>
      <c r="G586" s="1"/>
      <c r="H586" s="1"/>
    </row>
    <row r="587" spans="1:8">
      <c r="A587" s="1"/>
      <c r="B587" s="1"/>
      <c r="C587" s="1"/>
      <c r="D587" s="1"/>
      <c r="E587" s="1"/>
      <c r="F587" s="1"/>
      <c r="G587" s="1"/>
      <c r="H587" s="1"/>
    </row>
    <row r="588" spans="1:8">
      <c r="A588" s="1"/>
      <c r="B588" s="1"/>
      <c r="C588" s="1"/>
      <c r="D588" s="1"/>
      <c r="E588" s="1"/>
      <c r="F588" s="1"/>
      <c r="G588" s="1"/>
      <c r="H588" s="1"/>
    </row>
    <row r="589" spans="1:8">
      <c r="A589" s="1"/>
      <c r="B589" s="1"/>
      <c r="C589" s="1"/>
      <c r="D589" s="1"/>
      <c r="E589" s="1"/>
      <c r="F589" s="1"/>
      <c r="G589" s="1"/>
      <c r="H589" s="1"/>
    </row>
    <row r="590" spans="1:8">
      <c r="A590" s="1"/>
      <c r="B590" s="1"/>
      <c r="C590" s="1"/>
      <c r="D590" s="1"/>
      <c r="E590" s="1"/>
      <c r="F590" s="1"/>
      <c r="G590" s="1"/>
      <c r="H590" s="1"/>
    </row>
    <row r="591" spans="1:8">
      <c r="A591" s="1"/>
      <c r="B591" s="1"/>
      <c r="C591" s="1"/>
      <c r="D591" s="1"/>
      <c r="E591" s="1"/>
      <c r="F591" s="1"/>
      <c r="G591" s="1"/>
      <c r="H591" s="1"/>
    </row>
    <row r="592" spans="1:8">
      <c r="A592" s="1"/>
      <c r="B592" s="1"/>
      <c r="C592" s="1"/>
      <c r="D592" s="1"/>
      <c r="E592" s="1"/>
      <c r="F592" s="1"/>
      <c r="G592" s="1"/>
      <c r="H592" s="1"/>
    </row>
    <row r="593" spans="1:8">
      <c r="A593" s="1"/>
      <c r="B593" s="1"/>
      <c r="C593" s="1"/>
      <c r="D593" s="1"/>
      <c r="E593" s="1"/>
      <c r="F593" s="1"/>
      <c r="G593" s="1"/>
      <c r="H593" s="1"/>
    </row>
    <row r="594" spans="1:8">
      <c r="A594" s="1"/>
      <c r="B594" s="1"/>
      <c r="C594" s="1"/>
      <c r="D594" s="1"/>
      <c r="E594" s="1"/>
      <c r="F594" s="1"/>
      <c r="G594" s="1"/>
      <c r="H594" s="1"/>
    </row>
    <row r="595" spans="1:8">
      <c r="A595" s="1"/>
      <c r="B595" s="1"/>
      <c r="C595" s="1"/>
      <c r="D595" s="1"/>
      <c r="E595" s="1"/>
      <c r="F595" s="1"/>
      <c r="G595" s="1"/>
      <c r="H595" s="1"/>
    </row>
    <row r="596" spans="1:8">
      <c r="A596" s="1"/>
      <c r="B596" s="1"/>
      <c r="C596" s="1"/>
      <c r="D596" s="1"/>
      <c r="E596" s="1"/>
      <c r="F596" s="1"/>
      <c r="G596" s="1"/>
      <c r="H596" s="1"/>
    </row>
    <row r="597" spans="1:8">
      <c r="A597" s="1"/>
      <c r="B597" s="1"/>
      <c r="C597" s="1"/>
      <c r="D597" s="1"/>
      <c r="E597" s="1"/>
      <c r="F597" s="1"/>
      <c r="G597" s="1"/>
      <c r="H597" s="1"/>
    </row>
    <row r="598" spans="1:8">
      <c r="A598" s="1"/>
      <c r="B598" s="1"/>
      <c r="C598" s="1"/>
      <c r="D598" s="1"/>
      <c r="E598" s="1"/>
      <c r="F598" s="1"/>
      <c r="G598" s="1"/>
      <c r="H598" s="1"/>
    </row>
    <row r="599" spans="1:8">
      <c r="A599" s="1"/>
      <c r="B599" s="1"/>
      <c r="C599" s="1"/>
      <c r="D599" s="1"/>
      <c r="E599" s="1"/>
      <c r="F599" s="1"/>
      <c r="G599" s="1"/>
      <c r="H599" s="1"/>
    </row>
    <row r="600" spans="1:8">
      <c r="A600" s="1"/>
      <c r="B600" s="1"/>
      <c r="C600" s="1"/>
      <c r="D600" s="1"/>
      <c r="E600" s="1"/>
      <c r="F600" s="1"/>
      <c r="G600" s="1"/>
      <c r="H600" s="1"/>
    </row>
    <row r="601" spans="1:8">
      <c r="A601" s="1"/>
      <c r="B601" s="1"/>
      <c r="C601" s="1"/>
      <c r="D601" s="1"/>
      <c r="E601" s="1"/>
      <c r="F601" s="1"/>
      <c r="G601" s="1"/>
      <c r="H601" s="1"/>
    </row>
    <row r="602" spans="1:8">
      <c r="A602" s="1"/>
      <c r="B602" s="1"/>
      <c r="C602" s="1"/>
      <c r="D602" s="1"/>
      <c r="E602" s="1"/>
      <c r="F602" s="1"/>
      <c r="G602" s="1"/>
      <c r="H602" s="1"/>
    </row>
    <row r="603" spans="1:8">
      <c r="A603" s="1"/>
      <c r="B603" s="1"/>
      <c r="C603" s="1"/>
      <c r="D603" s="1"/>
      <c r="E603" s="1"/>
      <c r="F603" s="1"/>
      <c r="G603" s="1"/>
      <c r="H603" s="1"/>
    </row>
    <row r="604" spans="1:8">
      <c r="A604" s="1"/>
      <c r="B604" s="1"/>
      <c r="C604" s="1"/>
      <c r="D604" s="1"/>
      <c r="E604" s="1"/>
      <c r="F604" s="1"/>
      <c r="G604" s="1"/>
      <c r="H604" s="1"/>
    </row>
    <row r="605" spans="1:8">
      <c r="A605" s="1"/>
      <c r="B605" s="1"/>
      <c r="C605" s="1"/>
      <c r="D605" s="1"/>
      <c r="E605" s="1"/>
      <c r="F605" s="1"/>
      <c r="G605" s="1"/>
      <c r="H605" s="1"/>
    </row>
    <row r="606" spans="1:8">
      <c r="A606" s="1"/>
      <c r="B606" s="1"/>
      <c r="C606" s="1"/>
      <c r="D606" s="1"/>
      <c r="E606" s="1"/>
      <c r="F606" s="1"/>
      <c r="G606" s="1"/>
      <c r="H606" s="1"/>
    </row>
    <row r="607" spans="1:8">
      <c r="A607" s="1"/>
      <c r="B607" s="1"/>
      <c r="C607" s="1"/>
      <c r="D607" s="1"/>
      <c r="E607" s="1"/>
      <c r="F607" s="1"/>
      <c r="G607" s="1"/>
      <c r="H607" s="1"/>
    </row>
    <row r="608" spans="1:8">
      <c r="A608" s="1"/>
      <c r="B608" s="1"/>
      <c r="C608" s="1"/>
      <c r="D608" s="1"/>
      <c r="E608" s="1"/>
      <c r="F608" s="1"/>
      <c r="G608" s="1"/>
      <c r="H608" s="1"/>
    </row>
    <row r="609" spans="1:8">
      <c r="A609" s="1"/>
      <c r="B609" s="1"/>
      <c r="C609" s="1"/>
      <c r="D609" s="1"/>
      <c r="E609" s="1"/>
      <c r="F609" s="1"/>
      <c r="G609" s="1"/>
      <c r="H609" s="1"/>
    </row>
    <row r="610" spans="1:8">
      <c r="A610" s="1"/>
      <c r="B610" s="1"/>
      <c r="C610" s="1"/>
      <c r="D610" s="1"/>
      <c r="E610" s="1"/>
      <c r="F610" s="1"/>
      <c r="G610" s="1"/>
      <c r="H610" s="1"/>
    </row>
    <row r="611" spans="1:8">
      <c r="A611" s="1"/>
      <c r="B611" s="1"/>
      <c r="C611" s="1"/>
      <c r="D611" s="1"/>
      <c r="E611" s="1"/>
      <c r="F611" s="1"/>
      <c r="G611" s="1"/>
      <c r="H611" s="1"/>
    </row>
    <row r="612" spans="1:8">
      <c r="A612" s="1"/>
      <c r="B612" s="1"/>
      <c r="C612" s="1"/>
      <c r="D612" s="1"/>
      <c r="E612" s="1"/>
      <c r="F612" s="1"/>
      <c r="G612" s="1"/>
      <c r="H612" s="1"/>
    </row>
    <row r="613" spans="1:8">
      <c r="A613" s="1"/>
      <c r="B613" s="1"/>
      <c r="C613" s="1"/>
      <c r="D613" s="1"/>
      <c r="E613" s="1"/>
      <c r="F613" s="1"/>
      <c r="G613" s="1"/>
      <c r="H613" s="1"/>
    </row>
    <row r="614" spans="1:8">
      <c r="A614" s="1"/>
      <c r="B614" s="1"/>
      <c r="C614" s="1"/>
      <c r="D614" s="1"/>
      <c r="E614" s="1"/>
      <c r="F614" s="1"/>
      <c r="G614" s="1"/>
      <c r="H614" s="1"/>
    </row>
    <row r="615" spans="1:8">
      <c r="A615" s="1"/>
      <c r="B615" s="1"/>
      <c r="C615" s="1"/>
      <c r="D615" s="1"/>
      <c r="E615" s="1"/>
      <c r="F615" s="1"/>
      <c r="G615" s="1"/>
      <c r="H615" s="1"/>
    </row>
    <row r="616" spans="1:8">
      <c r="A616" s="1"/>
      <c r="B616" s="1"/>
      <c r="C616" s="1"/>
      <c r="D616" s="1"/>
      <c r="E616" s="1"/>
      <c r="F616" s="1"/>
      <c r="G616" s="1"/>
      <c r="H616" s="1"/>
    </row>
    <row r="617" spans="1:8">
      <c r="A617" s="1"/>
      <c r="B617" s="1"/>
      <c r="C617" s="1"/>
      <c r="D617" s="1"/>
      <c r="E617" s="1"/>
      <c r="F617" s="1"/>
      <c r="G617" s="1"/>
      <c r="H617" s="1"/>
    </row>
    <row r="618" spans="1:8">
      <c r="A618" s="1"/>
      <c r="B618" s="1"/>
      <c r="C618" s="1"/>
      <c r="D618" s="1"/>
      <c r="E618" s="1"/>
      <c r="F618" s="1"/>
      <c r="G618" s="1"/>
      <c r="H618" s="1"/>
    </row>
    <row r="619" spans="1:8">
      <c r="A619" s="1"/>
      <c r="B619" s="1"/>
      <c r="C619" s="1"/>
      <c r="D619" s="1"/>
      <c r="E619" s="1"/>
      <c r="F619" s="1"/>
      <c r="G619" s="1"/>
      <c r="H619" s="1"/>
    </row>
    <row r="620" spans="1:8">
      <c r="A620" s="1"/>
      <c r="B620" s="1"/>
      <c r="C620" s="1"/>
      <c r="D620" s="1"/>
      <c r="E620" s="1"/>
      <c r="F620" s="1"/>
      <c r="G620" s="1"/>
      <c r="H620" s="1"/>
    </row>
    <row r="621" spans="1:8">
      <c r="A621" s="1"/>
      <c r="B621" s="1"/>
      <c r="C621" s="1"/>
      <c r="D621" s="1"/>
      <c r="E621" s="1"/>
      <c r="F621" s="1"/>
      <c r="G621" s="1"/>
      <c r="H621" s="1"/>
    </row>
    <row r="622" spans="1:8">
      <c r="A622" s="1"/>
      <c r="B622" s="1"/>
      <c r="C622" s="1"/>
      <c r="D622" s="1"/>
      <c r="E622" s="1"/>
      <c r="F622" s="1"/>
      <c r="G622" s="1"/>
      <c r="H622" s="1"/>
    </row>
    <row r="623" spans="1:8">
      <c r="A623" s="1"/>
      <c r="B623" s="1"/>
      <c r="C623" s="1"/>
      <c r="D623" s="1"/>
      <c r="E623" s="1"/>
      <c r="F623" s="1"/>
      <c r="G623" s="1"/>
      <c r="H623" s="1"/>
    </row>
    <row r="624" spans="1:8">
      <c r="A624" s="1"/>
      <c r="B624" s="1"/>
      <c r="C624" s="1"/>
      <c r="D624" s="1"/>
      <c r="E624" s="1"/>
      <c r="F624" s="1"/>
      <c r="G624" s="1"/>
      <c r="H624" s="1"/>
    </row>
    <row r="625" spans="1:8">
      <c r="A625" s="1"/>
      <c r="B625" s="1"/>
      <c r="C625" s="1"/>
      <c r="D625" s="1"/>
      <c r="E625" s="1"/>
      <c r="F625" s="1"/>
      <c r="G625" s="1"/>
      <c r="H625" s="1"/>
    </row>
    <row r="626" spans="1:8">
      <c r="A626" s="1"/>
      <c r="B626" s="1"/>
      <c r="C626" s="1"/>
      <c r="D626" s="1"/>
      <c r="E626" s="1"/>
      <c r="F626" s="1"/>
      <c r="G626" s="1"/>
      <c r="H626" s="1"/>
    </row>
    <row r="627" spans="1:8">
      <c r="A627" s="1"/>
      <c r="B627" s="1"/>
      <c r="C627" s="1"/>
      <c r="D627" s="1"/>
      <c r="E627" s="1"/>
      <c r="F627" s="1"/>
      <c r="G627" s="1"/>
      <c r="H627" s="1"/>
    </row>
    <row r="628" spans="1:8">
      <c r="A628" s="1"/>
      <c r="B628" s="1"/>
      <c r="C628" s="1"/>
      <c r="D628" s="1"/>
      <c r="E628" s="1"/>
      <c r="F628" s="1"/>
      <c r="G628" s="1"/>
      <c r="H628" s="1"/>
    </row>
    <row r="629" spans="1:8">
      <c r="A629" s="1"/>
      <c r="B629" s="1"/>
      <c r="C629" s="1"/>
      <c r="D629" s="1"/>
      <c r="E629" s="1"/>
      <c r="F629" s="1"/>
      <c r="G629" s="1"/>
      <c r="H629" s="1"/>
    </row>
    <row r="630" spans="1:8">
      <c r="A630" s="1"/>
      <c r="B630" s="1"/>
      <c r="C630" s="1"/>
      <c r="D630" s="1"/>
      <c r="E630" s="1"/>
      <c r="F630" s="1"/>
      <c r="G630" s="1"/>
      <c r="H630" s="1"/>
    </row>
    <row r="631" spans="1:8">
      <c r="A631" s="1"/>
      <c r="B631" s="1"/>
      <c r="C631" s="1"/>
      <c r="D631" s="1"/>
      <c r="E631" s="1"/>
      <c r="F631" s="1"/>
      <c r="G631" s="1"/>
      <c r="H631" s="1"/>
    </row>
    <row r="632" spans="1:8">
      <c r="A632" s="1"/>
      <c r="B632" s="1"/>
      <c r="C632" s="1"/>
      <c r="D632" s="1"/>
      <c r="E632" s="1"/>
      <c r="F632" s="1"/>
      <c r="G632" s="1"/>
      <c r="H632" s="1"/>
    </row>
    <row r="633" spans="1:8">
      <c r="A633" s="1"/>
      <c r="B633" s="1"/>
      <c r="C633" s="1"/>
      <c r="D633" s="1"/>
      <c r="E633" s="1"/>
      <c r="F633" s="1"/>
      <c r="G633" s="1"/>
      <c r="H633" s="1"/>
    </row>
    <row r="634" spans="1:8">
      <c r="A634" s="1"/>
      <c r="B634" s="1"/>
      <c r="C634" s="1"/>
      <c r="D634" s="1"/>
      <c r="E634" s="1"/>
      <c r="F634" s="1"/>
      <c r="G634" s="1"/>
      <c r="H634" s="1"/>
    </row>
    <row r="635" spans="1:8">
      <c r="A635" s="1"/>
      <c r="B635" s="1"/>
      <c r="C635" s="1"/>
      <c r="D635" s="1"/>
      <c r="E635" s="1"/>
      <c r="F635" s="1"/>
      <c r="G635" s="1"/>
      <c r="H635" s="1"/>
    </row>
    <row r="636" spans="1:8">
      <c r="A636" s="1"/>
      <c r="B636" s="1"/>
      <c r="C636" s="1"/>
      <c r="D636" s="1"/>
      <c r="E636" s="1"/>
      <c r="F636" s="1"/>
      <c r="G636" s="1"/>
      <c r="H636" s="1"/>
    </row>
    <row r="637" spans="1:8">
      <c r="A637" s="1"/>
      <c r="B637" s="1"/>
      <c r="C637" s="1"/>
      <c r="D637" s="1"/>
      <c r="E637" s="1"/>
      <c r="F637" s="1"/>
      <c r="G637" s="1"/>
      <c r="H637" s="1"/>
    </row>
    <row r="638" spans="1:8">
      <c r="A638" s="1"/>
      <c r="B638" s="1"/>
      <c r="C638" s="1"/>
      <c r="D638" s="1"/>
      <c r="E638" s="1"/>
      <c r="F638" s="1"/>
      <c r="G638" s="1"/>
      <c r="H638" s="1"/>
    </row>
    <row r="639" spans="1:8">
      <c r="A639" s="1"/>
      <c r="B639" s="1"/>
      <c r="C639" s="1"/>
      <c r="D639" s="1"/>
      <c r="E639" s="1"/>
      <c r="F639" s="1"/>
      <c r="G639" s="1"/>
      <c r="H639" s="1"/>
    </row>
    <row r="640" spans="1:8">
      <c r="A640" s="1"/>
      <c r="B640" s="1"/>
      <c r="C640" s="1"/>
      <c r="D640" s="1"/>
      <c r="E640" s="1"/>
      <c r="F640" s="1"/>
      <c r="G640" s="1"/>
      <c r="H640" s="1"/>
    </row>
    <row r="641" spans="1:8">
      <c r="A641" s="1"/>
      <c r="B641" s="1"/>
      <c r="C641" s="1"/>
      <c r="D641" s="1"/>
      <c r="E641" s="1"/>
      <c r="F641" s="1"/>
      <c r="G641" s="1"/>
      <c r="H641" s="1"/>
    </row>
    <row r="642" spans="1:8">
      <c r="A642" s="1"/>
      <c r="B642" s="1"/>
      <c r="C642" s="1"/>
      <c r="D642" s="1"/>
      <c r="E642" s="1"/>
      <c r="F642" s="1"/>
      <c r="G642" s="1"/>
      <c r="H642" s="1"/>
    </row>
    <row r="643" spans="1:8">
      <c r="A643" s="1"/>
      <c r="B643" s="1"/>
      <c r="C643" s="1"/>
      <c r="D643" s="1"/>
      <c r="E643" s="1"/>
      <c r="F643" s="1"/>
      <c r="G643" s="1"/>
      <c r="H643" s="1"/>
    </row>
    <row r="644" spans="1:8">
      <c r="A644" s="1"/>
      <c r="B644" s="1"/>
      <c r="C644" s="1"/>
      <c r="D644" s="1"/>
      <c r="E644" s="1"/>
      <c r="F644" s="1"/>
      <c r="G644" s="1"/>
      <c r="H644" s="1"/>
    </row>
    <row r="645" spans="1:8">
      <c r="A645" s="1"/>
      <c r="B645" s="1"/>
      <c r="C645" s="1"/>
      <c r="D645" s="1"/>
      <c r="E645" s="1"/>
      <c r="F645" s="1"/>
      <c r="G645" s="1"/>
      <c r="H645" s="1"/>
    </row>
    <row r="646" spans="1:8">
      <c r="A646" s="1"/>
      <c r="B646" s="1"/>
      <c r="C646" s="1"/>
      <c r="D646" s="1"/>
      <c r="E646" s="1"/>
      <c r="F646" s="1"/>
      <c r="G646" s="1"/>
      <c r="H646" s="1"/>
    </row>
    <row r="647" spans="1:8">
      <c r="A647" s="1"/>
      <c r="B647" s="1"/>
      <c r="C647" s="1"/>
      <c r="D647" s="1"/>
      <c r="E647" s="1"/>
      <c r="F647" s="1"/>
      <c r="G647" s="1"/>
      <c r="H647" s="1"/>
    </row>
    <row r="648" spans="1:8">
      <c r="A648" s="1"/>
      <c r="B648" s="1"/>
      <c r="C648" s="1"/>
      <c r="D648" s="1"/>
      <c r="E648" s="1"/>
      <c r="F648" s="1"/>
      <c r="G648" s="1"/>
      <c r="H648" s="1"/>
    </row>
    <row r="649" spans="1:8">
      <c r="A649" s="1"/>
      <c r="B649" s="1"/>
      <c r="C649" s="1"/>
      <c r="D649" s="1"/>
      <c r="E649" s="1"/>
      <c r="F649" s="1"/>
      <c r="G649" s="1"/>
      <c r="H649" s="1"/>
    </row>
    <row r="650" spans="1:8">
      <c r="A650" s="1"/>
      <c r="B650" s="1"/>
      <c r="C650" s="1"/>
      <c r="D650" s="1"/>
      <c r="E650" s="1"/>
      <c r="F650" s="1"/>
      <c r="G650" s="1"/>
      <c r="H650" s="1"/>
    </row>
    <row r="651" spans="1:8">
      <c r="A651" s="1"/>
      <c r="B651" s="1"/>
      <c r="C651" s="1"/>
      <c r="D651" s="1"/>
      <c r="E651" s="1"/>
      <c r="F651" s="1"/>
      <c r="G651" s="1"/>
      <c r="H651" s="1"/>
    </row>
    <row r="652" spans="1:8">
      <c r="A652" s="1"/>
      <c r="B652" s="1"/>
      <c r="C652" s="1"/>
      <c r="D652" s="1"/>
      <c r="E652" s="1"/>
      <c r="F652" s="1"/>
      <c r="G652" s="1"/>
      <c r="H652" s="1"/>
    </row>
    <row r="653" spans="1:8">
      <c r="A653" s="1"/>
      <c r="B653" s="1"/>
      <c r="C653" s="1"/>
      <c r="D653" s="1"/>
      <c r="E653" s="1"/>
      <c r="F653" s="1"/>
      <c r="G653" s="1"/>
      <c r="H653" s="1"/>
    </row>
    <row r="654" spans="1:8">
      <c r="A654" s="1"/>
      <c r="B654" s="1"/>
      <c r="C654" s="1"/>
      <c r="D654" s="1"/>
      <c r="E654" s="1"/>
      <c r="F654" s="1"/>
      <c r="G654" s="1"/>
      <c r="H654" s="1"/>
    </row>
    <row r="655" spans="1:8">
      <c r="A655" s="1"/>
      <c r="B655" s="1"/>
      <c r="C655" s="1"/>
      <c r="D655" s="1"/>
      <c r="E655" s="1"/>
      <c r="F655" s="1"/>
      <c r="G655" s="1"/>
      <c r="H655" s="1"/>
    </row>
    <row r="656" spans="1:8">
      <c r="A656" s="1"/>
      <c r="B656" s="1"/>
      <c r="C656" s="1"/>
      <c r="D656" s="1"/>
      <c r="E656" s="1"/>
      <c r="F656" s="1"/>
      <c r="G656" s="1"/>
      <c r="H656" s="1"/>
    </row>
    <row r="657" spans="1:8">
      <c r="A657" s="1"/>
      <c r="B657" s="1"/>
      <c r="C657" s="1"/>
      <c r="D657" s="1"/>
      <c r="E657" s="1"/>
      <c r="F657" s="1"/>
      <c r="G657" s="1"/>
      <c r="H657" s="1"/>
    </row>
    <row r="658" spans="1:8">
      <c r="A658" s="1"/>
      <c r="B658" s="1"/>
      <c r="C658" s="1"/>
      <c r="D658" s="1"/>
      <c r="E658" s="1"/>
      <c r="F658" s="1"/>
      <c r="G658" s="1"/>
      <c r="H658" s="1"/>
    </row>
    <row r="659" spans="1:8">
      <c r="A659" s="1"/>
      <c r="B659" s="1"/>
      <c r="C659" s="1"/>
      <c r="D659" s="1"/>
      <c r="E659" s="1"/>
      <c r="F659" s="1"/>
      <c r="G659" s="1"/>
      <c r="H659" s="1"/>
    </row>
    <row r="660" spans="1:8">
      <c r="A660" s="1"/>
      <c r="B660" s="1"/>
      <c r="C660" s="1"/>
      <c r="D660" s="1"/>
      <c r="E660" s="1"/>
      <c r="F660" s="1"/>
      <c r="G660" s="1"/>
      <c r="H660" s="1"/>
    </row>
    <row r="661" spans="1:8">
      <c r="A661" s="1"/>
      <c r="B661" s="1"/>
      <c r="C661" s="1"/>
      <c r="D661" s="1"/>
      <c r="E661" s="1"/>
      <c r="F661" s="1"/>
      <c r="G661" s="1"/>
      <c r="H661" s="1"/>
    </row>
    <row r="662" spans="1:8">
      <c r="A662" s="1"/>
      <c r="B662" s="1"/>
      <c r="C662" s="1"/>
      <c r="D662" s="1"/>
      <c r="E662" s="1"/>
      <c r="F662" s="1"/>
      <c r="G662" s="1"/>
      <c r="H662" s="1"/>
    </row>
    <row r="663" spans="1:8">
      <c r="A663" s="1"/>
      <c r="B663" s="1"/>
      <c r="C663" s="1"/>
      <c r="D663" s="1"/>
      <c r="E663" s="1"/>
      <c r="F663" s="1"/>
      <c r="G663" s="1"/>
      <c r="H663" s="1"/>
    </row>
    <row r="664" spans="1:8">
      <c r="A664" s="1"/>
      <c r="B664" s="1"/>
      <c r="C664" s="1"/>
      <c r="D664" s="1"/>
      <c r="E664" s="1"/>
      <c r="F664" s="1"/>
      <c r="G664" s="1"/>
      <c r="H664" s="1"/>
    </row>
    <row r="665" spans="1:8">
      <c r="A665" s="1"/>
      <c r="B665" s="1"/>
      <c r="C665" s="1"/>
      <c r="D665" s="1"/>
      <c r="E665" s="1"/>
      <c r="F665" s="1"/>
      <c r="G665" s="1"/>
      <c r="H665" s="1"/>
    </row>
    <row r="666" spans="1:8">
      <c r="A666" s="1"/>
      <c r="B666" s="1"/>
      <c r="C666" s="1"/>
      <c r="D666" s="1"/>
      <c r="E666" s="1"/>
      <c r="F666" s="1"/>
      <c r="G666" s="1"/>
      <c r="H666" s="1"/>
    </row>
    <row r="667" spans="1:8">
      <c r="A667" s="1"/>
      <c r="B667" s="1"/>
      <c r="C667" s="1"/>
      <c r="D667" s="1"/>
      <c r="E667" s="1"/>
      <c r="F667" s="1"/>
      <c r="G667" s="1"/>
      <c r="H667" s="1"/>
    </row>
    <row r="668" spans="1:8">
      <c r="A668" s="1"/>
      <c r="B668" s="1"/>
      <c r="C668" s="1"/>
      <c r="D668" s="1"/>
      <c r="E668" s="1"/>
      <c r="F668" s="1"/>
      <c r="G668" s="1"/>
      <c r="H668" s="1"/>
    </row>
    <row r="669" spans="1:8">
      <c r="A669" s="1"/>
      <c r="B669" s="1"/>
      <c r="C669" s="1"/>
      <c r="D669" s="1"/>
      <c r="E669" s="1"/>
      <c r="F669" s="1"/>
      <c r="G669" s="1"/>
      <c r="H669" s="1"/>
    </row>
    <row r="670" spans="1:8">
      <c r="A670" s="1"/>
      <c r="B670" s="1"/>
      <c r="C670" s="1"/>
      <c r="D670" s="1"/>
      <c r="E670" s="1"/>
      <c r="F670" s="1"/>
      <c r="G670" s="1"/>
      <c r="H670" s="1"/>
    </row>
    <row r="671" spans="1:8">
      <c r="A671" s="1"/>
      <c r="B671" s="1"/>
      <c r="C671" s="1"/>
      <c r="D671" s="1"/>
      <c r="E671" s="1"/>
      <c r="F671" s="1"/>
      <c r="G671" s="1"/>
      <c r="H671" s="1"/>
    </row>
    <row r="672" spans="1:8">
      <c r="A672" s="1"/>
      <c r="B672" s="1"/>
      <c r="C672" s="1"/>
      <c r="D672" s="1"/>
      <c r="E672" s="1"/>
      <c r="F672" s="1"/>
      <c r="G672" s="1"/>
      <c r="H672" s="1"/>
    </row>
    <row r="673" spans="1:8">
      <c r="A673" s="1"/>
      <c r="B673" s="1"/>
      <c r="C673" s="1"/>
      <c r="D673" s="1"/>
      <c r="E673" s="1"/>
      <c r="F673" s="1"/>
      <c r="G673" s="1"/>
      <c r="H673" s="1"/>
    </row>
    <row r="674" spans="1:8">
      <c r="A674" s="1"/>
      <c r="B674" s="1"/>
      <c r="C674" s="1"/>
      <c r="D674" s="1"/>
      <c r="E674" s="1"/>
      <c r="F674" s="1"/>
      <c r="G674" s="1"/>
      <c r="H674" s="1"/>
    </row>
    <row r="675" spans="1:8">
      <c r="A675" s="1"/>
      <c r="B675" s="1"/>
      <c r="C675" s="1"/>
      <c r="D675" s="1"/>
      <c r="E675" s="1"/>
      <c r="F675" s="1"/>
      <c r="G675" s="1"/>
      <c r="H675" s="1"/>
    </row>
    <row r="676" spans="1:8">
      <c r="A676" s="1"/>
      <c r="B676" s="1"/>
      <c r="C676" s="1"/>
      <c r="D676" s="1"/>
      <c r="E676" s="1"/>
      <c r="F676" s="1"/>
      <c r="G676" s="1"/>
      <c r="H676" s="1"/>
    </row>
    <row r="677" spans="1:8">
      <c r="A677" s="1"/>
      <c r="B677" s="1"/>
      <c r="C677" s="1"/>
      <c r="D677" s="1"/>
      <c r="E677" s="1"/>
      <c r="F677" s="1"/>
      <c r="G677" s="1"/>
      <c r="H677" s="1"/>
    </row>
    <row r="678" spans="1:8">
      <c r="A678" s="1"/>
      <c r="B678" s="1"/>
      <c r="C678" s="1"/>
      <c r="D678" s="1"/>
      <c r="E678" s="1"/>
      <c r="F678" s="1"/>
      <c r="G678" s="1"/>
      <c r="H678" s="1"/>
    </row>
    <row r="679" spans="1:8">
      <c r="A679" s="1"/>
      <c r="B679" s="1"/>
      <c r="C679" s="1"/>
      <c r="D679" s="1"/>
      <c r="E679" s="1"/>
      <c r="F679" s="1"/>
      <c r="G679" s="1"/>
      <c r="H679" s="1"/>
    </row>
    <row r="680" spans="1:8">
      <c r="A680" s="1"/>
      <c r="B680" s="1"/>
      <c r="C680" s="1"/>
      <c r="D680" s="1"/>
      <c r="E680" s="1"/>
      <c r="F680" s="1"/>
      <c r="G680" s="1"/>
      <c r="H680" s="1"/>
    </row>
    <row r="681" spans="1:8">
      <c r="A681" s="1"/>
      <c r="B681" s="1"/>
      <c r="C681" s="1"/>
      <c r="D681" s="1"/>
      <c r="E681" s="1"/>
      <c r="F681" s="1"/>
      <c r="G681" s="1"/>
      <c r="H681" s="1"/>
    </row>
    <row r="682" spans="1:8">
      <c r="A682" s="1"/>
      <c r="B682" s="1"/>
      <c r="C682" s="1"/>
      <c r="D682" s="1"/>
      <c r="E682" s="1"/>
      <c r="F682" s="1"/>
      <c r="G682" s="1"/>
      <c r="H682" s="1"/>
    </row>
    <row r="683" spans="1:8">
      <c r="A683" s="1"/>
      <c r="B683" s="1"/>
      <c r="C683" s="1"/>
      <c r="D683" s="1"/>
      <c r="E683" s="1"/>
      <c r="F683" s="1"/>
      <c r="G683" s="1"/>
      <c r="H683" s="1"/>
    </row>
    <row r="684" spans="1:8">
      <c r="A684" s="1"/>
      <c r="B684" s="1"/>
      <c r="C684" s="1"/>
      <c r="D684" s="1"/>
      <c r="E684" s="1"/>
      <c r="F684" s="1"/>
      <c r="G684" s="1"/>
      <c r="H684" s="1"/>
    </row>
    <row r="685" spans="1:8">
      <c r="A685" s="1"/>
      <c r="B685" s="1"/>
      <c r="C685" s="1"/>
      <c r="D685" s="1"/>
      <c r="E685" s="1"/>
      <c r="F685" s="1"/>
      <c r="G685" s="1"/>
      <c r="H685" s="1"/>
    </row>
    <row r="686" spans="1:8">
      <c r="A686" s="1"/>
      <c r="B686" s="1"/>
      <c r="C686" s="1"/>
      <c r="D686" s="1"/>
      <c r="E686" s="1"/>
      <c r="F686" s="1"/>
      <c r="G686" s="1"/>
      <c r="H686" s="1"/>
    </row>
    <row r="687" spans="1:8">
      <c r="A687" s="1"/>
      <c r="B687" s="1"/>
      <c r="C687" s="1"/>
      <c r="D687" s="1"/>
      <c r="E687" s="1"/>
      <c r="F687" s="1"/>
      <c r="G687" s="1"/>
      <c r="H687" s="1"/>
    </row>
    <row r="688" spans="1:8">
      <c r="A688" s="1"/>
      <c r="B688" s="1"/>
      <c r="C688" s="1"/>
      <c r="D688" s="1"/>
      <c r="E688" s="1"/>
      <c r="F688" s="1"/>
      <c r="G688" s="1"/>
      <c r="H688" s="1"/>
    </row>
    <row r="689" spans="1:8">
      <c r="A689" s="1"/>
      <c r="B689" s="1"/>
      <c r="C689" s="1"/>
      <c r="D689" s="1"/>
      <c r="E689" s="1"/>
      <c r="F689" s="1"/>
      <c r="G689" s="1"/>
      <c r="H689" s="1"/>
    </row>
    <row r="690" spans="1:8">
      <c r="A690" s="1"/>
      <c r="B690" s="1"/>
      <c r="C690" s="1"/>
      <c r="D690" s="1"/>
      <c r="E690" s="1"/>
      <c r="F690" s="1"/>
      <c r="G690" s="1"/>
      <c r="H690" s="1"/>
    </row>
    <row r="691" spans="1:8">
      <c r="A691" s="1"/>
      <c r="B691" s="1"/>
      <c r="C691" s="1"/>
      <c r="D691" s="1"/>
      <c r="E691" s="1"/>
      <c r="F691" s="1"/>
      <c r="G691" s="1"/>
      <c r="H691" s="1"/>
    </row>
    <row r="692" spans="1:8">
      <c r="A692" s="1"/>
      <c r="B692" s="1"/>
      <c r="C692" s="1"/>
      <c r="D692" s="1"/>
      <c r="E692" s="1"/>
      <c r="F692" s="1"/>
      <c r="G692" s="1"/>
      <c r="H692" s="1"/>
    </row>
    <row r="693" spans="1:8">
      <c r="A693" s="1"/>
      <c r="B693" s="1"/>
      <c r="C693" s="1"/>
      <c r="D693" s="1"/>
      <c r="E693" s="1"/>
      <c r="F693" s="1"/>
      <c r="G693" s="1"/>
      <c r="H693" s="1"/>
    </row>
    <row r="694" spans="1:8">
      <c r="A694" s="1"/>
      <c r="B694" s="1"/>
      <c r="C694" s="1"/>
      <c r="D694" s="1"/>
      <c r="E694" s="1"/>
      <c r="F694" s="1"/>
      <c r="G694" s="1"/>
      <c r="H694" s="1"/>
    </row>
    <row r="695" spans="1:8">
      <c r="A695" s="1"/>
      <c r="B695" s="1"/>
      <c r="C695" s="1"/>
      <c r="D695" s="1"/>
      <c r="E695" s="1"/>
      <c r="F695" s="1"/>
      <c r="G695" s="1"/>
      <c r="H695" s="1"/>
    </row>
    <row r="696" spans="1:8">
      <c r="A696" s="1"/>
      <c r="B696" s="1"/>
      <c r="C696" s="1"/>
      <c r="D696" s="1"/>
      <c r="E696" s="1"/>
      <c r="F696" s="1"/>
      <c r="G696" s="1"/>
      <c r="H696" s="1"/>
    </row>
    <row r="697" spans="1:8">
      <c r="A697" s="1"/>
      <c r="B697" s="1"/>
      <c r="C697" s="1"/>
      <c r="D697" s="1"/>
      <c r="E697" s="1"/>
      <c r="F697" s="1"/>
      <c r="G697" s="1"/>
      <c r="H697" s="1"/>
    </row>
    <row r="698" spans="1:8">
      <c r="A698" s="1"/>
      <c r="B698" s="1"/>
      <c r="C698" s="1"/>
      <c r="D698" s="1"/>
      <c r="E698" s="1"/>
      <c r="F698" s="1"/>
      <c r="G698" s="1"/>
      <c r="H698" s="1"/>
    </row>
    <row r="699" spans="1:8">
      <c r="A699" s="1"/>
      <c r="B699" s="1"/>
      <c r="C699" s="1"/>
      <c r="D699" s="1"/>
      <c r="E699" s="1"/>
      <c r="F699" s="1"/>
      <c r="G699" s="1"/>
      <c r="H699" s="1"/>
    </row>
    <row r="700" spans="1:8">
      <c r="A700" s="1"/>
      <c r="B700" s="1"/>
      <c r="C700" s="1"/>
      <c r="D700" s="1"/>
      <c r="E700" s="1"/>
      <c r="F700" s="1"/>
      <c r="G700" s="1"/>
      <c r="H700" s="1"/>
    </row>
    <row r="701" spans="1:8">
      <c r="A701" s="1"/>
      <c r="B701" s="1"/>
      <c r="C701" s="1"/>
      <c r="D701" s="1"/>
      <c r="E701" s="1"/>
      <c r="F701" s="1"/>
      <c r="G701" s="1"/>
      <c r="H701" s="1"/>
    </row>
    <row r="702" spans="1:8">
      <c r="A702" s="1"/>
      <c r="B702" s="1"/>
      <c r="C702" s="1"/>
      <c r="D702" s="1"/>
      <c r="E702" s="1"/>
      <c r="F702" s="1"/>
      <c r="G702" s="1"/>
      <c r="H702" s="1"/>
    </row>
    <row r="703" spans="1:8">
      <c r="A703" s="1"/>
      <c r="B703" s="1"/>
      <c r="C703" s="1"/>
      <c r="D703" s="1"/>
      <c r="E703" s="1"/>
      <c r="F703" s="1"/>
      <c r="G703" s="1"/>
      <c r="H703" s="1"/>
    </row>
    <row r="704" spans="1:8">
      <c r="A704" s="1"/>
      <c r="B704" s="1"/>
      <c r="C704" s="1"/>
      <c r="D704" s="1"/>
      <c r="E704" s="1"/>
      <c r="F704" s="1"/>
      <c r="G704" s="1"/>
      <c r="H704" s="1"/>
    </row>
    <row r="705" spans="1:8">
      <c r="A705" s="1"/>
      <c r="B705" s="1"/>
      <c r="C705" s="1"/>
      <c r="D705" s="1"/>
      <c r="E705" s="1"/>
      <c r="F705" s="1"/>
      <c r="G705" s="1"/>
      <c r="H705" s="1"/>
    </row>
    <row r="706" spans="1:8">
      <c r="A706" s="1"/>
      <c r="B706" s="1"/>
      <c r="C706" s="1"/>
      <c r="D706" s="1"/>
      <c r="E706" s="1"/>
      <c r="F706" s="1"/>
      <c r="G706" s="1"/>
      <c r="H706" s="1"/>
    </row>
    <row r="707" spans="1:8">
      <c r="A707" s="1"/>
      <c r="B707" s="1"/>
      <c r="C707" s="1"/>
      <c r="D707" s="1"/>
      <c r="E707" s="1"/>
      <c r="F707" s="1"/>
      <c r="G707" s="1"/>
      <c r="H707" s="1"/>
    </row>
    <row r="708" spans="1:8">
      <c r="A708" s="1"/>
      <c r="B708" s="1"/>
      <c r="C708" s="1"/>
      <c r="D708" s="1"/>
      <c r="E708" s="1"/>
      <c r="F708" s="1"/>
      <c r="G708" s="1"/>
      <c r="H708" s="1"/>
    </row>
    <row r="709" spans="1:8">
      <c r="A709" s="1"/>
      <c r="B709" s="1"/>
      <c r="C709" s="1"/>
      <c r="D709" s="1"/>
      <c r="E709" s="1"/>
      <c r="F709" s="1"/>
      <c r="G709" s="1"/>
      <c r="H709" s="1"/>
    </row>
    <row r="710" spans="1:8">
      <c r="A710" s="1"/>
      <c r="B710" s="1"/>
      <c r="C710" s="1"/>
      <c r="D710" s="1"/>
      <c r="E710" s="1"/>
      <c r="F710" s="1"/>
      <c r="G710" s="1"/>
      <c r="H710" s="1"/>
    </row>
    <row r="711" spans="1:8">
      <c r="A711" s="1"/>
      <c r="B711" s="1"/>
      <c r="C711" s="1"/>
      <c r="D711" s="1"/>
      <c r="E711" s="1"/>
      <c r="F711" s="1"/>
      <c r="G711" s="1"/>
      <c r="H711" s="1"/>
    </row>
    <row r="712" spans="1:8">
      <c r="A712" s="1"/>
      <c r="B712" s="1"/>
      <c r="C712" s="1"/>
      <c r="D712" s="1"/>
      <c r="E712" s="1"/>
      <c r="F712" s="1"/>
      <c r="G712" s="1"/>
      <c r="H712" s="1"/>
    </row>
    <row r="713" spans="1:8">
      <c r="A713" s="1"/>
      <c r="B713" s="1"/>
      <c r="C713" s="1"/>
      <c r="D713" s="1"/>
      <c r="E713" s="1"/>
      <c r="F713" s="1"/>
      <c r="G713" s="1"/>
      <c r="H713" s="1"/>
    </row>
    <row r="714" spans="1:8">
      <c r="A714" s="1"/>
      <c r="B714" s="1"/>
      <c r="C714" s="1"/>
      <c r="D714" s="1"/>
      <c r="E714" s="1"/>
      <c r="F714" s="1"/>
      <c r="G714" s="1"/>
      <c r="H714" s="1"/>
    </row>
    <row r="715" spans="1:8">
      <c r="A715" s="1"/>
    </row>
    <row r="716" spans="1:8">
      <c r="A716" s="1"/>
    </row>
  </sheetData>
  <mergeCells count="323">
    <mergeCell ref="G30:H30"/>
    <mergeCell ref="G29:H29"/>
    <mergeCell ref="G89:H89"/>
    <mergeCell ref="G64:H64"/>
    <mergeCell ref="G65:H65"/>
    <mergeCell ref="G66:H66"/>
    <mergeCell ref="G67:H67"/>
    <mergeCell ref="G68:H68"/>
    <mergeCell ref="G69:H69"/>
    <mergeCell ref="G70:H70"/>
    <mergeCell ref="G71:H71"/>
    <mergeCell ref="G74:H74"/>
    <mergeCell ref="G72:H72"/>
    <mergeCell ref="G73:H73"/>
    <mergeCell ref="G61:H61"/>
    <mergeCell ref="G62:H62"/>
    <mergeCell ref="G63:H63"/>
    <mergeCell ref="G56:H56"/>
    <mergeCell ref="G57:H57"/>
    <mergeCell ref="G58:H58"/>
    <mergeCell ref="G59:H59"/>
    <mergeCell ref="G60:H60"/>
    <mergeCell ref="G51:H51"/>
    <mergeCell ref="G52:H52"/>
    <mergeCell ref="F334:H334"/>
    <mergeCell ref="F335:H335"/>
    <mergeCell ref="G116:H116"/>
    <mergeCell ref="G117:H117"/>
    <mergeCell ref="G118:H118"/>
    <mergeCell ref="G119:H119"/>
    <mergeCell ref="G125:H125"/>
    <mergeCell ref="G126:H126"/>
    <mergeCell ref="G127:H127"/>
    <mergeCell ref="G120:H120"/>
    <mergeCell ref="G121:H121"/>
    <mergeCell ref="G122:H122"/>
    <mergeCell ref="G123:H123"/>
    <mergeCell ref="G132:H132"/>
    <mergeCell ref="G139:H139"/>
    <mergeCell ref="G140:H140"/>
    <mergeCell ref="G141:H141"/>
    <mergeCell ref="G245:H245"/>
    <mergeCell ref="G284:H284"/>
    <mergeCell ref="G142:H142"/>
    <mergeCell ref="G143:H143"/>
    <mergeCell ref="G145:H145"/>
    <mergeCell ref="G144:H144"/>
    <mergeCell ref="G172:H172"/>
    <mergeCell ref="G146:H146"/>
    <mergeCell ref="G147:H147"/>
    <mergeCell ref="G148:H148"/>
    <mergeCell ref="G53:H53"/>
    <mergeCell ref="G54:H54"/>
    <mergeCell ref="G55:H55"/>
    <mergeCell ref="G110:H110"/>
    <mergeCell ref="G112:H112"/>
    <mergeCell ref="G189:H189"/>
    <mergeCell ref="G93:H93"/>
    <mergeCell ref="G94:H94"/>
    <mergeCell ref="G95:H95"/>
    <mergeCell ref="G108:H108"/>
    <mergeCell ref="G87:H87"/>
    <mergeCell ref="G88:H88"/>
    <mergeCell ref="G90:H90"/>
    <mergeCell ref="G91:H91"/>
    <mergeCell ref="G92:H92"/>
    <mergeCell ref="G96:H96"/>
    <mergeCell ref="G98:H98"/>
    <mergeCell ref="G99:H99"/>
    <mergeCell ref="G100:H100"/>
    <mergeCell ref="G101:H101"/>
    <mergeCell ref="G97:H97"/>
    <mergeCell ref="G190:H190"/>
    <mergeCell ref="G191:H191"/>
    <mergeCell ref="G192:H192"/>
    <mergeCell ref="G205:H205"/>
    <mergeCell ref="G177:H177"/>
    <mergeCell ref="G178:H178"/>
    <mergeCell ref="G179:H179"/>
    <mergeCell ref="G180:H180"/>
    <mergeCell ref="G181:H181"/>
    <mergeCell ref="G183:H183"/>
    <mergeCell ref="G182:H182"/>
    <mergeCell ref="G184:H184"/>
    <mergeCell ref="G185:H185"/>
    <mergeCell ref="G186:H186"/>
    <mergeCell ref="F333:H333"/>
    <mergeCell ref="G103:H103"/>
    <mergeCell ref="G109:H109"/>
    <mergeCell ref="G113:H113"/>
    <mergeCell ref="G104:H104"/>
    <mergeCell ref="G105:H105"/>
    <mergeCell ref="G106:H106"/>
    <mergeCell ref="G111:H111"/>
    <mergeCell ref="G165:H165"/>
    <mergeCell ref="G285:H285"/>
    <mergeCell ref="G166:H166"/>
    <mergeCell ref="G168:H168"/>
    <mergeCell ref="G169:H169"/>
    <mergeCell ref="G173:H173"/>
    <mergeCell ref="G128:H128"/>
    <mergeCell ref="G129:H129"/>
    <mergeCell ref="G130:H130"/>
    <mergeCell ref="G131:H131"/>
    <mergeCell ref="G243:H243"/>
    <mergeCell ref="G175:H175"/>
    <mergeCell ref="G176:H176"/>
    <mergeCell ref="G133:H133"/>
    <mergeCell ref="G134:H134"/>
    <mergeCell ref="G174:H174"/>
    <mergeCell ref="G102:H102"/>
    <mergeCell ref="A13:H13"/>
    <mergeCell ref="G19:H19"/>
    <mergeCell ref="A1:H7"/>
    <mergeCell ref="A8:H8"/>
    <mergeCell ref="A10:H10"/>
    <mergeCell ref="B11:H11"/>
    <mergeCell ref="A12:H12"/>
    <mergeCell ref="G27:H27"/>
    <mergeCell ref="G28:H28"/>
    <mergeCell ref="G26:H26"/>
    <mergeCell ref="A14:D14"/>
    <mergeCell ref="E14:H14"/>
    <mergeCell ref="G16:H16"/>
    <mergeCell ref="G15:H15"/>
    <mergeCell ref="G17:H17"/>
    <mergeCell ref="G18:H18"/>
    <mergeCell ref="G24:H24"/>
    <mergeCell ref="G20:H20"/>
    <mergeCell ref="G21:H21"/>
    <mergeCell ref="G22:H22"/>
    <mergeCell ref="G23:H23"/>
    <mergeCell ref="G25:H25"/>
    <mergeCell ref="G46:H46"/>
    <mergeCell ref="G48:H48"/>
    <mergeCell ref="G49:H49"/>
    <mergeCell ref="G47:H47"/>
    <mergeCell ref="G38:H38"/>
    <mergeCell ref="G39:H39"/>
    <mergeCell ref="G41:H41"/>
    <mergeCell ref="G42:H42"/>
    <mergeCell ref="G43:H43"/>
    <mergeCell ref="G40:H40"/>
    <mergeCell ref="G31:H31"/>
    <mergeCell ref="G33:H33"/>
    <mergeCell ref="G34:H34"/>
    <mergeCell ref="G35:H35"/>
    <mergeCell ref="G36:H36"/>
    <mergeCell ref="G32:H32"/>
    <mergeCell ref="G124:H124"/>
    <mergeCell ref="G44:H44"/>
    <mergeCell ref="G50:H50"/>
    <mergeCell ref="G76:H76"/>
    <mergeCell ref="G75:H75"/>
    <mergeCell ref="G77:H77"/>
    <mergeCell ref="G78:H78"/>
    <mergeCell ref="G79:H79"/>
    <mergeCell ref="G80:H80"/>
    <mergeCell ref="G81:H81"/>
    <mergeCell ref="G82:H82"/>
    <mergeCell ref="G83:H83"/>
    <mergeCell ref="G84:H84"/>
    <mergeCell ref="G85:H85"/>
    <mergeCell ref="G86:H86"/>
    <mergeCell ref="G107:H107"/>
    <mergeCell ref="G37:H37"/>
    <mergeCell ref="G45:H45"/>
    <mergeCell ref="G216:H216"/>
    <mergeCell ref="G217:H217"/>
    <mergeCell ref="G218:H218"/>
    <mergeCell ref="G219:H219"/>
    <mergeCell ref="G220:H220"/>
    <mergeCell ref="G201:H201"/>
    <mergeCell ref="G202:H202"/>
    <mergeCell ref="G203:H203"/>
    <mergeCell ref="G213:H213"/>
    <mergeCell ref="G214:H214"/>
    <mergeCell ref="G204:H204"/>
    <mergeCell ref="G209:H209"/>
    <mergeCell ref="G210:H210"/>
    <mergeCell ref="G211:H211"/>
    <mergeCell ref="G212:H212"/>
    <mergeCell ref="G206:H206"/>
    <mergeCell ref="G207:H207"/>
    <mergeCell ref="G208:H208"/>
    <mergeCell ref="G215:H215"/>
    <mergeCell ref="G149:H149"/>
    <mergeCell ref="G150:H150"/>
    <mergeCell ref="G187:H187"/>
    <mergeCell ref="G188:H188"/>
    <mergeCell ref="G198:H198"/>
    <mergeCell ref="G199:H199"/>
    <mergeCell ref="G114:H114"/>
    <mergeCell ref="G115:H115"/>
    <mergeCell ref="G170:H170"/>
    <mergeCell ref="G171:H171"/>
    <mergeCell ref="G193:H193"/>
    <mergeCell ref="G194:H194"/>
    <mergeCell ref="G195:H195"/>
    <mergeCell ref="G196:H196"/>
    <mergeCell ref="G197:H197"/>
    <mergeCell ref="G155:H155"/>
    <mergeCell ref="G156:H156"/>
    <mergeCell ref="G157:H157"/>
    <mergeCell ref="G137:H137"/>
    <mergeCell ref="G151:H151"/>
    <mergeCell ref="G152:H152"/>
    <mergeCell ref="G153:H153"/>
    <mergeCell ref="G154:H154"/>
    <mergeCell ref="G158:H158"/>
    <mergeCell ref="G280:H280"/>
    <mergeCell ref="G281:H281"/>
    <mergeCell ref="G282:H282"/>
    <mergeCell ref="G283:H283"/>
    <mergeCell ref="G260:H260"/>
    <mergeCell ref="G261:H261"/>
    <mergeCell ref="G262:H262"/>
    <mergeCell ref="G263:H263"/>
    <mergeCell ref="G264:H264"/>
    <mergeCell ref="G265:H265"/>
    <mergeCell ref="G266:H266"/>
    <mergeCell ref="G267:H267"/>
    <mergeCell ref="G268:H268"/>
    <mergeCell ref="G271:H271"/>
    <mergeCell ref="G272:H272"/>
    <mergeCell ref="G273:H273"/>
    <mergeCell ref="G274:H274"/>
    <mergeCell ref="G275:H275"/>
    <mergeCell ref="G276:H276"/>
    <mergeCell ref="G277:H277"/>
    <mergeCell ref="G278:H278"/>
    <mergeCell ref="G279:H279"/>
    <mergeCell ref="G270:H270"/>
    <mergeCell ref="G257:H257"/>
    <mergeCell ref="G258:H258"/>
    <mergeCell ref="G259:H259"/>
    <mergeCell ref="G269:H269"/>
    <mergeCell ref="G235:H235"/>
    <mergeCell ref="G236:H236"/>
    <mergeCell ref="G240:H240"/>
    <mergeCell ref="G251:H251"/>
    <mergeCell ref="G252:H252"/>
    <mergeCell ref="G253:H253"/>
    <mergeCell ref="G246:H246"/>
    <mergeCell ref="G247:H247"/>
    <mergeCell ref="G248:H248"/>
    <mergeCell ref="G249:H249"/>
    <mergeCell ref="G250:H250"/>
    <mergeCell ref="G238:H238"/>
    <mergeCell ref="G239:H239"/>
    <mergeCell ref="G237:H237"/>
    <mergeCell ref="G241:H241"/>
    <mergeCell ref="G242:H242"/>
    <mergeCell ref="G244:H244"/>
    <mergeCell ref="G159:H159"/>
    <mergeCell ref="G160:H160"/>
    <mergeCell ref="G161:H161"/>
    <mergeCell ref="G162:H162"/>
    <mergeCell ref="G163:H163"/>
    <mergeCell ref="G164:H164"/>
    <mergeCell ref="G254:H254"/>
    <mergeCell ref="G255:H255"/>
    <mergeCell ref="G256:H256"/>
    <mergeCell ref="G222:H222"/>
    <mergeCell ref="G223:H223"/>
    <mergeCell ref="G224:H224"/>
    <mergeCell ref="G225:H225"/>
    <mergeCell ref="G226:H226"/>
    <mergeCell ref="G227:H227"/>
    <mergeCell ref="G228:H228"/>
    <mergeCell ref="G229:H229"/>
    <mergeCell ref="G230:H230"/>
    <mergeCell ref="G231:H231"/>
    <mergeCell ref="G232:H232"/>
    <mergeCell ref="G233:H233"/>
    <mergeCell ref="G234:H234"/>
    <mergeCell ref="G221:H221"/>
    <mergeCell ref="G200:H200"/>
    <mergeCell ref="G302:H302"/>
    <mergeCell ref="G286:H286"/>
    <mergeCell ref="G287:H287"/>
    <mergeCell ref="G288:H288"/>
    <mergeCell ref="G289:H289"/>
    <mergeCell ref="G290:H290"/>
    <mergeCell ref="G291:H291"/>
    <mergeCell ref="G292:H292"/>
    <mergeCell ref="G293:H293"/>
    <mergeCell ref="G294:H294"/>
    <mergeCell ref="G325:H325"/>
    <mergeCell ref="G326:H326"/>
    <mergeCell ref="G327:H327"/>
    <mergeCell ref="G315:H315"/>
    <mergeCell ref="G316:H316"/>
    <mergeCell ref="G317:H317"/>
    <mergeCell ref="G318:H318"/>
    <mergeCell ref="G319:H319"/>
    <mergeCell ref="G320:H320"/>
    <mergeCell ref="G321:H321"/>
    <mergeCell ref="G322:H322"/>
    <mergeCell ref="G135:H135"/>
    <mergeCell ref="G136:H136"/>
    <mergeCell ref="G311:H311"/>
    <mergeCell ref="G312:H312"/>
    <mergeCell ref="G138:H138"/>
    <mergeCell ref="G314:H314"/>
    <mergeCell ref="G313:H313"/>
    <mergeCell ref="G323:H323"/>
    <mergeCell ref="G324:H324"/>
    <mergeCell ref="G303:H303"/>
    <mergeCell ref="G304:H304"/>
    <mergeCell ref="G305:H305"/>
    <mergeCell ref="G307:H307"/>
    <mergeCell ref="G308:H308"/>
    <mergeCell ref="G309:H309"/>
    <mergeCell ref="G306:H306"/>
    <mergeCell ref="G310:H310"/>
    <mergeCell ref="G295:H295"/>
    <mergeCell ref="G296:H296"/>
    <mergeCell ref="G297:H297"/>
    <mergeCell ref="G298:H298"/>
    <mergeCell ref="G299:H299"/>
    <mergeCell ref="G300:H300"/>
    <mergeCell ref="G301:H301"/>
  </mergeCells>
  <pageMargins left="0.51181102362204722" right="0.51181102362204722" top="0.78740157480314965" bottom="0.78740157480314965" header="0.31496062992125984" footer="0.31496062992125984"/>
  <pageSetup paperSize="9" scale="80" fitToHeight="0" orientation="landscape" r:id="rId1"/>
  <headerFooter>
    <oddFooter>&amp;C&amp;"Arial,Normal"&amp;8Prefeitura da Estância Turística de Paraguaçu Paulista - SP - Av. Siqueira Campos 1430 - CEP 19703-061 - www. eparaguacu.sp.gov.br - Tel. (18) 3361 9100</oddFooter>
  </headerFooter>
  <rowBreaks count="17" manualBreakCount="17">
    <brk id="23" max="7" man="1"/>
    <brk id="30" max="7" man="1"/>
    <brk id="40" max="7" man="1"/>
    <brk id="44" max="7" man="1"/>
    <brk id="53" max="7" man="1"/>
    <brk id="62" max="7" man="1"/>
    <brk id="73" max="7" man="1"/>
    <brk id="90" max="7" man="1"/>
    <brk id="101" max="7" man="1"/>
    <brk id="112" max="7" man="1"/>
    <brk id="121" max="7" man="1"/>
    <brk id="134" max="7" man="1"/>
    <brk id="143" max="7" man="1"/>
    <brk id="165" max="7" man="1"/>
    <brk id="209" max="7" man="1"/>
    <brk id="267" max="7" man="1"/>
    <brk id="282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2"/>
  <sheetViews>
    <sheetView view="pageBreakPreview" topLeftCell="A31" zoomScale="62" zoomScaleNormal="150" zoomScaleSheetLayoutView="85" workbookViewId="0">
      <selection activeCell="S31" sqref="S31"/>
    </sheetView>
  </sheetViews>
  <sheetFormatPr defaultColWidth="8.85546875" defaultRowHeight="12.75"/>
  <cols>
    <col min="1" max="1" width="8.140625" style="115" customWidth="1"/>
    <col min="2" max="2" width="6.85546875" style="115" customWidth="1"/>
    <col min="3" max="3" width="27.42578125" style="115" customWidth="1"/>
    <col min="4" max="5" width="16.85546875" style="115" customWidth="1"/>
    <col min="6" max="8" width="16.28515625" style="115" customWidth="1"/>
    <col min="9" max="15" width="17.5703125" style="115" customWidth="1"/>
    <col min="16" max="16" width="18.85546875" style="115" bestFit="1" customWidth="1"/>
    <col min="17" max="17" width="15" style="115" bestFit="1" customWidth="1"/>
    <col min="18" max="18" width="13.85546875" style="115" bestFit="1" customWidth="1"/>
    <col min="19" max="16384" width="8.85546875" style="115"/>
  </cols>
  <sheetData>
    <row r="1" spans="1:16" ht="12.75" customHeight="1">
      <c r="A1" s="360" t="s">
        <v>12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  <c r="N1" s="361"/>
      <c r="O1" s="361"/>
      <c r="P1" s="362"/>
    </row>
    <row r="2" spans="1:16" ht="12.75" customHeight="1">
      <c r="A2" s="363"/>
      <c r="B2" s="364"/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4"/>
      <c r="O2" s="364"/>
      <c r="P2" s="365"/>
    </row>
    <row r="3" spans="1:16" ht="12.75" customHeight="1">
      <c r="A3" s="363"/>
      <c r="B3" s="364"/>
      <c r="C3" s="364"/>
      <c r="D3" s="364"/>
      <c r="E3" s="364"/>
      <c r="F3" s="364"/>
      <c r="G3" s="364"/>
      <c r="H3" s="364"/>
      <c r="I3" s="364"/>
      <c r="J3" s="364"/>
      <c r="K3" s="364"/>
      <c r="L3" s="364"/>
      <c r="M3" s="364"/>
      <c r="N3" s="364"/>
      <c r="O3" s="364"/>
      <c r="P3" s="365"/>
    </row>
    <row r="4" spans="1:16" ht="12.75" customHeight="1">
      <c r="A4" s="363"/>
      <c r="B4" s="364"/>
      <c r="C4" s="364"/>
      <c r="D4" s="364"/>
      <c r="E4" s="364"/>
      <c r="F4" s="364"/>
      <c r="G4" s="364"/>
      <c r="H4" s="364"/>
      <c r="I4" s="364"/>
      <c r="J4" s="364"/>
      <c r="K4" s="364"/>
      <c r="L4" s="364"/>
      <c r="M4" s="364"/>
      <c r="N4" s="364"/>
      <c r="O4" s="364"/>
      <c r="P4" s="365"/>
    </row>
    <row r="5" spans="1:16" ht="12.75" customHeight="1">
      <c r="A5" s="363"/>
      <c r="B5" s="364"/>
      <c r="C5" s="364"/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365"/>
    </row>
    <row r="6" spans="1:16" ht="12.75" customHeight="1">
      <c r="A6" s="363"/>
      <c r="B6" s="364"/>
      <c r="C6" s="364"/>
      <c r="D6" s="364"/>
      <c r="E6" s="364"/>
      <c r="F6" s="364"/>
      <c r="G6" s="364"/>
      <c r="H6" s="364"/>
      <c r="I6" s="364"/>
      <c r="J6" s="364"/>
      <c r="K6" s="364"/>
      <c r="L6" s="364"/>
      <c r="M6" s="364"/>
      <c r="N6" s="364"/>
      <c r="O6" s="364"/>
      <c r="P6" s="365"/>
    </row>
    <row r="7" spans="1:16" ht="12.75" customHeight="1">
      <c r="A7" s="363"/>
      <c r="B7" s="364"/>
      <c r="C7" s="364"/>
      <c r="D7" s="364"/>
      <c r="E7" s="364"/>
      <c r="F7" s="364"/>
      <c r="G7" s="364"/>
      <c r="H7" s="364"/>
      <c r="I7" s="364"/>
      <c r="J7" s="364"/>
      <c r="K7" s="364"/>
      <c r="L7" s="364"/>
      <c r="M7" s="364"/>
      <c r="N7" s="364"/>
      <c r="O7" s="364"/>
      <c r="P7" s="365"/>
    </row>
    <row r="8" spans="1:16" ht="12.75" customHeight="1">
      <c r="A8" s="363"/>
      <c r="B8" s="364"/>
      <c r="C8" s="364"/>
      <c r="D8" s="364"/>
      <c r="E8" s="364"/>
      <c r="F8" s="364"/>
      <c r="G8" s="364"/>
      <c r="H8" s="364"/>
      <c r="I8" s="364"/>
      <c r="J8" s="364"/>
      <c r="K8" s="364"/>
      <c r="L8" s="364"/>
      <c r="M8" s="364"/>
      <c r="N8" s="364"/>
      <c r="O8" s="364"/>
      <c r="P8" s="365"/>
    </row>
    <row r="9" spans="1:16" ht="15" customHeight="1">
      <c r="A9" s="363" t="s">
        <v>11</v>
      </c>
      <c r="B9" s="364"/>
      <c r="C9" s="364"/>
      <c r="D9" s="364"/>
      <c r="E9" s="364"/>
      <c r="F9" s="364"/>
      <c r="G9" s="364"/>
      <c r="H9" s="364"/>
      <c r="I9" s="364"/>
      <c r="J9" s="364"/>
      <c r="K9" s="364"/>
      <c r="L9" s="364"/>
      <c r="M9" s="364"/>
      <c r="N9" s="364"/>
      <c r="O9" s="364"/>
      <c r="P9" s="365"/>
    </row>
    <row r="10" spans="1:16" ht="12" customHeight="1">
      <c r="A10" s="366" t="s">
        <v>107</v>
      </c>
      <c r="B10" s="367"/>
      <c r="C10" s="367"/>
      <c r="D10" s="367"/>
      <c r="E10" s="367"/>
      <c r="F10" s="367"/>
      <c r="G10" s="367"/>
      <c r="H10" s="367"/>
      <c r="I10" s="367"/>
      <c r="J10" s="367"/>
      <c r="K10" s="367"/>
      <c r="L10" s="367"/>
      <c r="M10" s="367"/>
      <c r="N10" s="367"/>
      <c r="O10" s="367"/>
      <c r="P10" s="368"/>
    </row>
    <row r="11" spans="1:16" ht="8.1" customHeight="1">
      <c r="A11" s="372"/>
      <c r="B11" s="373"/>
      <c r="C11" s="373"/>
      <c r="D11" s="373"/>
      <c r="E11" s="373"/>
      <c r="F11" s="373"/>
      <c r="G11" s="373"/>
      <c r="H11" s="373"/>
      <c r="I11" s="373"/>
      <c r="J11" s="373"/>
      <c r="K11" s="373"/>
      <c r="L11" s="373"/>
      <c r="M11" s="373"/>
      <c r="N11" s="373"/>
      <c r="O11" s="373"/>
      <c r="P11" s="374"/>
    </row>
    <row r="12" spans="1:16" ht="21.95" customHeight="1">
      <c r="A12" s="369" t="s">
        <v>128</v>
      </c>
      <c r="B12" s="370"/>
      <c r="C12" s="370"/>
      <c r="D12" s="370"/>
      <c r="E12" s="370"/>
      <c r="F12" s="370"/>
      <c r="G12" s="370"/>
      <c r="H12" s="370"/>
      <c r="I12" s="370"/>
      <c r="J12" s="370"/>
      <c r="K12" s="370"/>
      <c r="L12" s="370"/>
      <c r="M12" s="370"/>
      <c r="N12" s="370"/>
      <c r="O12" s="370"/>
      <c r="P12" s="371"/>
    </row>
    <row r="13" spans="1:16" ht="30" customHeight="1">
      <c r="A13" s="369" t="s">
        <v>129</v>
      </c>
      <c r="B13" s="370"/>
      <c r="C13" s="370"/>
      <c r="D13" s="370"/>
      <c r="E13" s="370"/>
      <c r="F13" s="370"/>
      <c r="G13" s="370"/>
      <c r="H13" s="370"/>
      <c r="I13" s="370"/>
      <c r="J13" s="370"/>
      <c r="K13" s="370"/>
      <c r="L13" s="370"/>
      <c r="M13" s="370"/>
      <c r="N13" s="370"/>
      <c r="O13" s="370"/>
      <c r="P13" s="371"/>
    </row>
    <row r="14" spans="1:16" ht="26.25" customHeight="1">
      <c r="A14" s="375" t="s">
        <v>108</v>
      </c>
      <c r="B14" s="376"/>
      <c r="C14" s="376"/>
      <c r="D14" s="376"/>
      <c r="E14" s="376"/>
      <c r="F14" s="376"/>
      <c r="G14" s="376"/>
      <c r="H14" s="376"/>
      <c r="I14" s="376"/>
      <c r="J14" s="376"/>
      <c r="K14" s="376"/>
      <c r="L14" s="376"/>
      <c r="M14" s="376"/>
      <c r="N14" s="376"/>
      <c r="O14" s="376"/>
      <c r="P14" s="377"/>
    </row>
    <row r="15" spans="1:16" ht="15" customHeight="1">
      <c r="A15" s="369" t="s">
        <v>891</v>
      </c>
      <c r="B15" s="370"/>
      <c r="C15" s="370"/>
      <c r="D15" s="370"/>
      <c r="E15" s="370"/>
      <c r="F15" s="370"/>
      <c r="G15" s="370"/>
      <c r="H15" s="370"/>
      <c r="I15" s="370"/>
      <c r="J15" s="370"/>
      <c r="K15" s="370"/>
      <c r="L15" s="370"/>
      <c r="M15" s="370"/>
      <c r="N15" s="370"/>
      <c r="O15" s="370"/>
      <c r="P15" s="371"/>
    </row>
    <row r="16" spans="1:16" ht="3.75" customHeight="1">
      <c r="A16" s="378"/>
      <c r="B16" s="379"/>
      <c r="C16" s="379"/>
      <c r="D16" s="379"/>
      <c r="E16" s="379"/>
      <c r="F16" s="379"/>
      <c r="G16" s="379"/>
      <c r="H16" s="379"/>
      <c r="I16" s="379"/>
      <c r="J16" s="379"/>
      <c r="K16" s="379"/>
      <c r="L16" s="379"/>
      <c r="M16" s="379"/>
      <c r="N16" s="379"/>
      <c r="O16" s="379"/>
      <c r="P16" s="380"/>
    </row>
    <row r="17" spans="1:18" ht="9.9499999999999993" customHeight="1">
      <c r="A17" s="116"/>
      <c r="B17" s="116"/>
      <c r="C17" s="117" t="s">
        <v>109</v>
      </c>
      <c r="D17" s="118" t="s">
        <v>110</v>
      </c>
      <c r="E17" s="118" t="s">
        <v>111</v>
      </c>
      <c r="F17" s="118" t="s">
        <v>112</v>
      </c>
      <c r="G17" s="118" t="s">
        <v>113</v>
      </c>
      <c r="H17" s="118" t="s">
        <v>114</v>
      </c>
      <c r="I17" s="118" t="s">
        <v>115</v>
      </c>
      <c r="J17" s="118" t="s">
        <v>373</v>
      </c>
      <c r="K17" s="118" t="s">
        <v>374</v>
      </c>
      <c r="L17" s="118" t="s">
        <v>375</v>
      </c>
      <c r="M17" s="118" t="s">
        <v>376</v>
      </c>
      <c r="N17" s="118" t="s">
        <v>377</v>
      </c>
      <c r="O17" s="118" t="s">
        <v>378</v>
      </c>
      <c r="P17" s="381" t="s">
        <v>116</v>
      </c>
    </row>
    <row r="18" spans="1:18" ht="12" customHeight="1">
      <c r="A18" s="255"/>
      <c r="B18" s="383" t="s">
        <v>117</v>
      </c>
      <c r="C18" s="384"/>
      <c r="D18" s="119">
        <v>30</v>
      </c>
      <c r="E18" s="120">
        <v>60</v>
      </c>
      <c r="F18" s="119">
        <v>90</v>
      </c>
      <c r="G18" s="120">
        <v>120</v>
      </c>
      <c r="H18" s="119">
        <v>150</v>
      </c>
      <c r="I18" s="120">
        <v>180</v>
      </c>
      <c r="J18" s="119">
        <v>210</v>
      </c>
      <c r="K18" s="120">
        <v>240</v>
      </c>
      <c r="L18" s="119">
        <v>270</v>
      </c>
      <c r="M18" s="120">
        <v>300</v>
      </c>
      <c r="N18" s="119">
        <v>330</v>
      </c>
      <c r="O18" s="120">
        <v>360</v>
      </c>
      <c r="P18" s="382"/>
    </row>
    <row r="19" spans="1:18" ht="20.100000000000001" customHeight="1">
      <c r="A19" s="346" t="s">
        <v>31</v>
      </c>
      <c r="B19" s="349" t="s">
        <v>118</v>
      </c>
      <c r="C19" s="347" t="s">
        <v>100</v>
      </c>
      <c r="D19" s="121">
        <f>D20/P20</f>
        <v>1</v>
      </c>
      <c r="E19" s="121"/>
      <c r="F19" s="121"/>
      <c r="G19" s="121"/>
      <c r="H19" s="121"/>
      <c r="I19" s="121"/>
      <c r="J19" s="144"/>
      <c r="K19" s="144"/>
      <c r="L19" s="144"/>
      <c r="M19" s="144"/>
      <c r="N19" s="144"/>
      <c r="O19" s="144"/>
      <c r="P19" s="122">
        <f>P20/P76</f>
        <v>7.1739727060498521E-3</v>
      </c>
    </row>
    <row r="20" spans="1:18" ht="20.100000000000001" customHeight="1">
      <c r="A20" s="346"/>
      <c r="B20" s="350"/>
      <c r="C20" s="348"/>
      <c r="D20" s="123">
        <v>13112.96</v>
      </c>
      <c r="E20" s="123"/>
      <c r="F20" s="123"/>
      <c r="G20" s="123"/>
      <c r="H20" s="123"/>
      <c r="I20" s="123"/>
      <c r="J20" s="193"/>
      <c r="K20" s="193"/>
      <c r="L20" s="193"/>
      <c r="M20" s="193"/>
      <c r="N20" s="193"/>
      <c r="O20" s="193"/>
      <c r="P20" s="140">
        <f>SUM(D20:I20)</f>
        <v>13112.96</v>
      </c>
      <c r="Q20" s="125"/>
      <c r="R20" s="125"/>
    </row>
    <row r="21" spans="1:18" ht="20.100000000000001" customHeight="1">
      <c r="A21" s="346"/>
      <c r="B21" s="349" t="s">
        <v>119</v>
      </c>
      <c r="C21" s="347" t="s">
        <v>140</v>
      </c>
      <c r="D21" s="121"/>
      <c r="E21" s="121">
        <f>E22/P22</f>
        <v>0.28293100084708056</v>
      </c>
      <c r="F21" s="121">
        <f>F22/P22</f>
        <v>0.2485528212779359</v>
      </c>
      <c r="G21" s="121">
        <f>G22/P22</f>
        <v>0.25425634536577674</v>
      </c>
      <c r="H21" s="121">
        <f>H22/P22</f>
        <v>0.21425983250920702</v>
      </c>
      <c r="I21" s="144"/>
      <c r="J21" s="198"/>
      <c r="K21" s="198"/>
      <c r="L21" s="198"/>
      <c r="M21" s="198"/>
      <c r="N21" s="198"/>
      <c r="O21" s="198"/>
      <c r="P21" s="145">
        <f>P22/P76</f>
        <v>7.7063287319303939E-2</v>
      </c>
      <c r="Q21" s="125"/>
    </row>
    <row r="22" spans="1:18" ht="20.100000000000001" customHeight="1">
      <c r="A22" s="346"/>
      <c r="B22" s="350"/>
      <c r="C22" s="348"/>
      <c r="D22" s="123"/>
      <c r="E22" s="123">
        <f>36853.74-1000+1000+3000</f>
        <v>39853.74</v>
      </c>
      <c r="F22" s="126">
        <f>31011.22+1000+3000</f>
        <v>35011.22</v>
      </c>
      <c r="G22" s="127">
        <f>32996.37-1181.75+1000+3000</f>
        <v>35814.620000000003</v>
      </c>
      <c r="H22" s="127">
        <f>25365.33+1911+433.1-2486.51+1117.14+3840.64</f>
        <v>30180.699999999997</v>
      </c>
      <c r="I22" s="127"/>
      <c r="J22" s="195"/>
      <c r="K22" s="195"/>
      <c r="L22" s="195"/>
      <c r="M22" s="195"/>
      <c r="N22" s="195"/>
      <c r="O22" s="195"/>
      <c r="P22" s="146">
        <f>SUM(D22:I22)</f>
        <v>140860.27999999997</v>
      </c>
      <c r="R22" s="125"/>
    </row>
    <row r="23" spans="1:18" ht="20.100000000000001" customHeight="1">
      <c r="A23" s="346"/>
      <c r="B23" s="349" t="s">
        <v>120</v>
      </c>
      <c r="C23" s="347" t="s">
        <v>130</v>
      </c>
      <c r="D23" s="121"/>
      <c r="E23" s="121"/>
      <c r="F23" s="121"/>
      <c r="G23" s="121"/>
      <c r="H23" s="121"/>
      <c r="I23" s="121">
        <f>I24/P24</f>
        <v>0.38593012149955219</v>
      </c>
      <c r="J23" s="194">
        <f>J24/P24</f>
        <v>0.61406987850044781</v>
      </c>
      <c r="K23" s="194"/>
      <c r="L23" s="194"/>
      <c r="M23" s="194"/>
      <c r="N23" s="194"/>
      <c r="O23" s="194"/>
      <c r="P23" s="128">
        <f>P24/P76</f>
        <v>3.4912592346442506E-2</v>
      </c>
      <c r="Q23" s="125"/>
    </row>
    <row r="24" spans="1:18" ht="20.100000000000001" customHeight="1">
      <c r="A24" s="346"/>
      <c r="B24" s="350"/>
      <c r="C24" s="348"/>
      <c r="D24" s="126"/>
      <c r="E24" s="129"/>
      <c r="F24" s="129"/>
      <c r="G24" s="129"/>
      <c r="H24" s="129"/>
      <c r="I24" s="129">
        <f>20023.71+4604.44</f>
        <v>24628.149999999998</v>
      </c>
      <c r="J24" s="195">
        <f>37186.9+2000</f>
        <v>39186.9</v>
      </c>
      <c r="K24" s="195"/>
      <c r="L24" s="195"/>
      <c r="M24" s="195"/>
      <c r="N24" s="195"/>
      <c r="O24" s="195"/>
      <c r="P24" s="124">
        <f>SUM(D24:J24)</f>
        <v>63815.05</v>
      </c>
      <c r="Q24" s="115" t="s">
        <v>892</v>
      </c>
    </row>
    <row r="25" spans="1:18" ht="20.100000000000001" customHeight="1">
      <c r="A25" s="346"/>
      <c r="B25" s="352" t="s">
        <v>121</v>
      </c>
      <c r="C25" s="347" t="s">
        <v>57</v>
      </c>
      <c r="D25" s="121"/>
      <c r="E25" s="121"/>
      <c r="F25" s="121"/>
      <c r="G25" s="121"/>
      <c r="H25" s="121"/>
      <c r="I25" s="121"/>
      <c r="J25" s="194"/>
      <c r="K25" s="199">
        <f>K26/P26</f>
        <v>1</v>
      </c>
      <c r="L25" s="194"/>
      <c r="M25" s="194"/>
      <c r="N25" s="194"/>
      <c r="O25" s="194"/>
      <c r="P25" s="128">
        <f>P26/P76</f>
        <v>4.1427808198579762E-3</v>
      </c>
      <c r="Q25" s="125"/>
    </row>
    <row r="26" spans="1:18" ht="20.100000000000001" customHeight="1">
      <c r="A26" s="346"/>
      <c r="B26" s="353"/>
      <c r="C26" s="348"/>
      <c r="D26" s="126"/>
      <c r="E26" s="129"/>
      <c r="F26" s="129"/>
      <c r="G26" s="129"/>
      <c r="H26" s="129"/>
      <c r="I26" s="129"/>
      <c r="J26" s="195"/>
      <c r="K26" s="195">
        <v>7572.39</v>
      </c>
      <c r="L26" s="195"/>
      <c r="M26" s="195"/>
      <c r="N26" s="195"/>
      <c r="O26" s="195"/>
      <c r="P26" s="124">
        <f>SUM(D26:M26)</f>
        <v>7572.39</v>
      </c>
      <c r="Q26" s="115" t="s">
        <v>892</v>
      </c>
    </row>
    <row r="27" spans="1:18" ht="20.100000000000001" customHeight="1">
      <c r="A27" s="346" t="s">
        <v>46</v>
      </c>
      <c r="B27" s="349" t="s">
        <v>131</v>
      </c>
      <c r="C27" s="347" t="s">
        <v>71</v>
      </c>
      <c r="D27" s="121">
        <f>D28/P28</f>
        <v>0.26819617883478208</v>
      </c>
      <c r="E27" s="121">
        <f>E28/P28</f>
        <v>0.17870957260711984</v>
      </c>
      <c r="F27" s="121">
        <f>F28/P28</f>
        <v>0.13799535473723992</v>
      </c>
      <c r="G27" s="121">
        <f>G28/P28</f>
        <v>0.15895585490727573</v>
      </c>
      <c r="H27" s="121">
        <f>H28/P28</f>
        <v>0.13749524874720462</v>
      </c>
      <c r="I27" s="121">
        <f>I28/P28</f>
        <v>0.11864779016637776</v>
      </c>
      <c r="J27" s="144"/>
      <c r="K27" s="144"/>
      <c r="L27" s="144"/>
      <c r="M27" s="144"/>
      <c r="N27" s="144"/>
      <c r="O27" s="144"/>
      <c r="P27" s="122">
        <f>P28/P76</f>
        <v>0.47836185529139824</v>
      </c>
      <c r="Q27" s="125"/>
    </row>
    <row r="28" spans="1:18" ht="20.100000000000001" customHeight="1">
      <c r="A28" s="346"/>
      <c r="B28" s="350"/>
      <c r="C28" s="348"/>
      <c r="D28" s="126">
        <f>12000+272503.94-50000</f>
        <v>234503.94</v>
      </c>
      <c r="E28" s="129">
        <f>12000+194259.12-50000</f>
        <v>156259.12</v>
      </c>
      <c r="F28" s="129">
        <f>12000+158659.64-50000</f>
        <v>120659.64000000001</v>
      </c>
      <c r="G28" s="129">
        <f>12000+146986.97-50000+30000</f>
        <v>138986.97</v>
      </c>
      <c r="H28" s="129">
        <f>12000+135996.36-27774</f>
        <v>120222.35999999999</v>
      </c>
      <c r="I28" s="129">
        <f>12000+99739.85+10000+1000+10739.83+262.94-30000</f>
        <v>103742.62</v>
      </c>
      <c r="J28" s="195"/>
      <c r="K28" s="195"/>
      <c r="L28" s="195"/>
      <c r="M28" s="195"/>
      <c r="N28" s="195"/>
      <c r="O28" s="195"/>
      <c r="P28" s="124">
        <f>SUM(D28:O28)</f>
        <v>874374.65</v>
      </c>
      <c r="R28" s="125"/>
    </row>
    <row r="29" spans="1:18" ht="20.100000000000001" customHeight="1">
      <c r="A29" s="346"/>
      <c r="B29" s="349" t="s">
        <v>119</v>
      </c>
      <c r="C29" s="347" t="s">
        <v>792</v>
      </c>
      <c r="D29" s="121"/>
      <c r="E29" s="121"/>
      <c r="F29" s="121"/>
      <c r="G29" s="121"/>
      <c r="H29" s="121"/>
      <c r="I29" s="121"/>
      <c r="J29" s="144">
        <f>J30/P30</f>
        <v>0.69777231280861851</v>
      </c>
      <c r="K29" s="144">
        <f>K30/P30</f>
        <v>0.30222768719138138</v>
      </c>
      <c r="L29" s="144"/>
      <c r="M29" s="144"/>
      <c r="N29" s="144"/>
      <c r="O29" s="144"/>
      <c r="P29" s="122">
        <f>P30/P76</f>
        <v>1.1265551348401058E-2</v>
      </c>
      <c r="Q29" s="125"/>
      <c r="R29" s="125"/>
    </row>
    <row r="30" spans="1:18" ht="20.100000000000001" customHeight="1">
      <c r="A30" s="346"/>
      <c r="B30" s="350"/>
      <c r="C30" s="348"/>
      <c r="D30" s="126"/>
      <c r="E30" s="129"/>
      <c r="F30" s="129"/>
      <c r="G30" s="129"/>
      <c r="H30" s="129"/>
      <c r="I30" s="129"/>
      <c r="J30" s="195">
        <v>14368.36</v>
      </c>
      <c r="K30" s="195">
        <f>89.9+6133.5</f>
        <v>6223.4</v>
      </c>
      <c r="L30" s="195"/>
      <c r="M30" s="195"/>
      <c r="N30" s="195"/>
      <c r="O30" s="195"/>
      <c r="P30" s="124">
        <f>SUM(J30:O30)</f>
        <v>20591.760000000002</v>
      </c>
      <c r="Q30" s="125" t="s">
        <v>892</v>
      </c>
      <c r="R30" s="125"/>
    </row>
    <row r="31" spans="1:18" ht="20.100000000000001" customHeight="1">
      <c r="A31" s="346" t="s">
        <v>173</v>
      </c>
      <c r="B31" s="349" t="s">
        <v>131</v>
      </c>
      <c r="C31" s="347" t="s">
        <v>153</v>
      </c>
      <c r="D31" s="121">
        <f>D32/P32</f>
        <v>1</v>
      </c>
      <c r="E31" s="121"/>
      <c r="F31" s="121"/>
      <c r="G31" s="121"/>
      <c r="H31" s="121"/>
      <c r="I31" s="121"/>
      <c r="J31" s="144"/>
      <c r="K31" s="144"/>
      <c r="L31" s="144"/>
      <c r="M31" s="144"/>
      <c r="N31" s="144"/>
      <c r="O31" s="144"/>
      <c r="P31" s="122">
        <f>P32/P76</f>
        <v>5.1515550808149428E-3</v>
      </c>
      <c r="Q31" s="125"/>
    </row>
    <row r="32" spans="1:18" ht="20.100000000000001" customHeight="1">
      <c r="A32" s="346"/>
      <c r="B32" s="350"/>
      <c r="C32" s="348"/>
      <c r="D32" s="126">
        <v>9416.2800000000007</v>
      </c>
      <c r="E32" s="129"/>
      <c r="F32" s="129"/>
      <c r="G32" s="129"/>
      <c r="H32" s="129"/>
      <c r="I32" s="129"/>
      <c r="J32" s="195"/>
      <c r="K32" s="195"/>
      <c r="L32" s="195"/>
      <c r="M32" s="195"/>
      <c r="N32" s="195"/>
      <c r="O32" s="195"/>
      <c r="P32" s="124">
        <f>SUM(D32:I32)</f>
        <v>9416.2800000000007</v>
      </c>
      <c r="Q32" s="115" t="s">
        <v>892</v>
      </c>
    </row>
    <row r="33" spans="1:18" ht="20.100000000000001" customHeight="1">
      <c r="A33" s="346"/>
      <c r="B33" s="349" t="s">
        <v>119</v>
      </c>
      <c r="C33" s="347" t="s">
        <v>237</v>
      </c>
      <c r="D33" s="121"/>
      <c r="E33" s="121">
        <f>E34/P34</f>
        <v>0.59265779959811737</v>
      </c>
      <c r="F33" s="121">
        <f>F34/P34</f>
        <v>0.40734220040188268</v>
      </c>
      <c r="G33" s="121"/>
      <c r="H33" s="121"/>
      <c r="I33" s="121"/>
      <c r="J33" s="144"/>
      <c r="K33" s="144"/>
      <c r="L33" s="144"/>
      <c r="M33" s="144"/>
      <c r="N33" s="144"/>
      <c r="O33" s="144"/>
      <c r="P33" s="122">
        <f>P34/P76</f>
        <v>5.2329074025935195E-3</v>
      </c>
      <c r="Q33" s="125"/>
    </row>
    <row r="34" spans="1:18" ht="20.100000000000001" customHeight="1">
      <c r="A34" s="346"/>
      <c r="B34" s="350"/>
      <c r="C34" s="348"/>
      <c r="D34" s="126"/>
      <c r="E34" s="129">
        <v>5668.76</v>
      </c>
      <c r="F34" s="129">
        <f>3000+221.33-358.05+358.05+61.95+612.94</f>
        <v>3896.22</v>
      </c>
      <c r="G34" s="129"/>
      <c r="H34" s="129"/>
      <c r="I34" s="129"/>
      <c r="J34" s="195"/>
      <c r="K34" s="195"/>
      <c r="L34" s="195"/>
      <c r="M34" s="195"/>
      <c r="N34" s="195"/>
      <c r="O34" s="195"/>
      <c r="P34" s="124">
        <f>SUM(D34:I34)</f>
        <v>9564.98</v>
      </c>
      <c r="Q34" s="125" t="s">
        <v>892</v>
      </c>
      <c r="R34" s="125"/>
    </row>
    <row r="35" spans="1:18" ht="20.100000000000001" customHeight="1">
      <c r="A35" s="346"/>
      <c r="B35" s="349" t="s">
        <v>120</v>
      </c>
      <c r="C35" s="347" t="s">
        <v>225</v>
      </c>
      <c r="D35" s="121"/>
      <c r="E35" s="121"/>
      <c r="F35" s="121"/>
      <c r="G35" s="121">
        <f>G36/P36</f>
        <v>1</v>
      </c>
      <c r="H35" s="121"/>
      <c r="I35" s="121"/>
      <c r="J35" s="144"/>
      <c r="K35" s="144"/>
      <c r="L35" s="144"/>
      <c r="M35" s="144"/>
      <c r="N35" s="144"/>
      <c r="O35" s="144"/>
      <c r="P35" s="122">
        <f>P36/P76</f>
        <v>2.3815933232448063E-3</v>
      </c>
      <c r="Q35" s="125"/>
    </row>
    <row r="36" spans="1:18" ht="20.100000000000001" customHeight="1">
      <c r="A36" s="346"/>
      <c r="B36" s="350"/>
      <c r="C36" s="348"/>
      <c r="D36" s="126"/>
      <c r="E36" s="129"/>
      <c r="F36" s="129"/>
      <c r="G36" s="129">
        <v>4353.2</v>
      </c>
      <c r="H36" s="129"/>
      <c r="I36" s="129"/>
      <c r="J36" s="195"/>
      <c r="K36" s="195"/>
      <c r="L36" s="195"/>
      <c r="M36" s="195"/>
      <c r="N36" s="195"/>
      <c r="O36" s="195"/>
      <c r="P36" s="124">
        <f>SUM(D36:I36)</f>
        <v>4353.2</v>
      </c>
      <c r="Q36" s="115" t="s">
        <v>892</v>
      </c>
    </row>
    <row r="37" spans="1:18" ht="20.100000000000001" customHeight="1">
      <c r="A37" s="346"/>
      <c r="B37" s="349" t="s">
        <v>121</v>
      </c>
      <c r="C37" s="347" t="s">
        <v>57</v>
      </c>
      <c r="D37" s="121"/>
      <c r="E37" s="121"/>
      <c r="F37" s="121"/>
      <c r="G37" s="121"/>
      <c r="H37" s="121">
        <f>H38/P38</f>
        <v>0.45926271620782616</v>
      </c>
      <c r="I37" s="121">
        <f>I38/P38</f>
        <v>0.38062473696711102</v>
      </c>
      <c r="J37" s="144">
        <f>J38/P38</f>
        <v>0.16011254682506285</v>
      </c>
      <c r="K37" s="144"/>
      <c r="L37" s="144"/>
      <c r="M37" s="144"/>
      <c r="N37" s="144"/>
      <c r="O37" s="144"/>
      <c r="P37" s="122">
        <f>P38/P76</f>
        <v>5.2518257838114297E-3</v>
      </c>
      <c r="Q37" s="125"/>
    </row>
    <row r="38" spans="1:18" ht="20.100000000000001" customHeight="1">
      <c r="A38" s="346"/>
      <c r="B38" s="350"/>
      <c r="C38" s="348"/>
      <c r="D38" s="126"/>
      <c r="E38" s="129"/>
      <c r="F38" s="129"/>
      <c r="G38" s="129"/>
      <c r="H38" s="129">
        <f>1000+3908.72-500</f>
        <v>4408.7199999999993</v>
      </c>
      <c r="I38" s="129">
        <f>4153.83-1000+1000-500</f>
        <v>3653.83</v>
      </c>
      <c r="J38" s="195">
        <f>384.63+1000+152.38</f>
        <v>1537.0100000000002</v>
      </c>
      <c r="K38" s="195"/>
      <c r="L38" s="195"/>
      <c r="M38" s="195"/>
      <c r="N38" s="195"/>
      <c r="O38" s="195"/>
      <c r="P38" s="124">
        <f>SUM(D38:J38)</f>
        <v>9599.56</v>
      </c>
      <c r="Q38" s="125" t="s">
        <v>892</v>
      </c>
      <c r="R38" s="125"/>
    </row>
    <row r="39" spans="1:18" ht="20.100000000000001" customHeight="1">
      <c r="A39" s="346"/>
      <c r="B39" s="349" t="s">
        <v>265</v>
      </c>
      <c r="C39" s="347" t="s">
        <v>267</v>
      </c>
      <c r="D39" s="121"/>
      <c r="E39" s="121"/>
      <c r="F39" s="121"/>
      <c r="G39" s="121"/>
      <c r="H39" s="121"/>
      <c r="I39" s="121"/>
      <c r="J39" s="144"/>
      <c r="K39" s="144">
        <f>K40/P40</f>
        <v>1</v>
      </c>
      <c r="L39" s="144"/>
      <c r="M39" s="144"/>
      <c r="N39" s="144"/>
      <c r="O39" s="144"/>
      <c r="P39" s="122">
        <f>P40/P76</f>
        <v>5.7540765268215518E-4</v>
      </c>
      <c r="Q39" s="125"/>
    </row>
    <row r="40" spans="1:18" ht="20.100000000000001" customHeight="1">
      <c r="A40" s="346"/>
      <c r="B40" s="350"/>
      <c r="C40" s="348"/>
      <c r="D40" s="126"/>
      <c r="E40" s="129"/>
      <c r="F40" s="129"/>
      <c r="G40" s="129"/>
      <c r="H40" s="129"/>
      <c r="I40" s="129"/>
      <c r="J40" s="195"/>
      <c r="K40" s="195">
        <v>1051.76</v>
      </c>
      <c r="L40" s="195"/>
      <c r="M40" s="195"/>
      <c r="N40" s="195"/>
      <c r="O40" s="195"/>
      <c r="P40" s="124">
        <f>SUM(D40:O40)</f>
        <v>1051.76</v>
      </c>
    </row>
    <row r="41" spans="1:18" ht="20.100000000000001" customHeight="1">
      <c r="A41" s="346" t="s">
        <v>422</v>
      </c>
      <c r="B41" s="349" t="s">
        <v>131</v>
      </c>
      <c r="C41" s="347" t="s">
        <v>636</v>
      </c>
      <c r="D41" s="121">
        <f>D42/P42</f>
        <v>0.27296612676308468</v>
      </c>
      <c r="E41" s="121">
        <f>E42/P42</f>
        <v>0.26322945213035315</v>
      </c>
      <c r="F41" s="121">
        <f>F42/P42</f>
        <v>0.25385496944125208</v>
      </c>
      <c r="G41" s="121">
        <f>G42/P42</f>
        <v>0.20994945166531007</v>
      </c>
      <c r="H41" s="121"/>
      <c r="I41" s="121"/>
      <c r="J41" s="144"/>
      <c r="K41" s="144"/>
      <c r="L41" s="144"/>
      <c r="M41" s="144"/>
      <c r="N41" s="144"/>
      <c r="O41" s="144"/>
      <c r="P41" s="122">
        <f>P42/P76</f>
        <v>0.16564122712454912</v>
      </c>
      <c r="Q41" s="125"/>
    </row>
    <row r="42" spans="1:18" ht="20.100000000000001" customHeight="1">
      <c r="A42" s="346"/>
      <c r="B42" s="350"/>
      <c r="C42" s="348"/>
      <c r="D42" s="126">
        <f>10000+65145.31+7500</f>
        <v>82645.31</v>
      </c>
      <c r="E42" s="129">
        <f>10000+62597.36+7100</f>
        <v>79697.36</v>
      </c>
      <c r="F42" s="129">
        <f>10000+60459.36+7100-700.29</f>
        <v>76859.070000000007</v>
      </c>
      <c r="G42" s="129">
        <f>53565.9+10000</f>
        <v>63565.9</v>
      </c>
      <c r="H42" s="129"/>
      <c r="I42" s="129"/>
      <c r="J42" s="195"/>
      <c r="K42" s="195"/>
      <c r="L42" s="195"/>
      <c r="M42" s="195"/>
      <c r="N42" s="195"/>
      <c r="O42" s="195"/>
      <c r="P42" s="124">
        <f>SUM(D42:O42)</f>
        <v>302767.64</v>
      </c>
      <c r="R42" s="125"/>
    </row>
    <row r="43" spans="1:18" ht="20.100000000000001" customHeight="1">
      <c r="A43" s="346"/>
      <c r="B43" s="349" t="s">
        <v>119</v>
      </c>
      <c r="C43" s="347" t="s">
        <v>781</v>
      </c>
      <c r="D43" s="121"/>
      <c r="E43" s="121"/>
      <c r="F43" s="121"/>
      <c r="G43" s="121"/>
      <c r="H43" s="121">
        <f>H44/P44</f>
        <v>0.50844635891924173</v>
      </c>
      <c r="I43" s="121">
        <f>I44/P44</f>
        <v>0.49155364108075827</v>
      </c>
      <c r="J43" s="144"/>
      <c r="K43" s="144"/>
      <c r="L43" s="144"/>
      <c r="M43" s="144"/>
      <c r="N43" s="144"/>
      <c r="O43" s="144"/>
      <c r="P43" s="122">
        <f>P44/P76</f>
        <v>2.5980501320142478E-2</v>
      </c>
      <c r="Q43" s="125"/>
    </row>
    <row r="44" spans="1:18" ht="20.100000000000001" customHeight="1">
      <c r="A44" s="346"/>
      <c r="B44" s="350"/>
      <c r="C44" s="348"/>
      <c r="D44" s="126"/>
      <c r="E44" s="129"/>
      <c r="F44" s="129"/>
      <c r="G44" s="129"/>
      <c r="H44" s="129">
        <v>24145.360000000001</v>
      </c>
      <c r="I44" s="129">
        <v>23343.15</v>
      </c>
      <c r="J44" s="195"/>
      <c r="K44" s="195"/>
      <c r="L44" s="195"/>
      <c r="M44" s="195"/>
      <c r="N44" s="195"/>
      <c r="O44" s="195"/>
      <c r="P44" s="124">
        <f>SUM(H44:O44)</f>
        <v>47488.51</v>
      </c>
      <c r="R44" s="125"/>
    </row>
    <row r="45" spans="1:18" ht="20.100000000000001" customHeight="1">
      <c r="A45" s="346" t="s">
        <v>423</v>
      </c>
      <c r="B45" s="349" t="s">
        <v>131</v>
      </c>
      <c r="C45" s="347" t="s">
        <v>100</v>
      </c>
      <c r="D45" s="121">
        <f>D46/P46</f>
        <v>0.93731518394808966</v>
      </c>
      <c r="E45" s="121">
        <f>E46/P46</f>
        <v>1.5671204012977526E-2</v>
      </c>
      <c r="F45" s="121">
        <f>F46/P46</f>
        <v>1.5671204012977526E-2</v>
      </c>
      <c r="G45" s="121">
        <f>G46/P46</f>
        <v>1.5671204012977526E-2</v>
      </c>
      <c r="H45" s="121">
        <f>H46/P46</f>
        <v>1.5671204012977526E-2</v>
      </c>
      <c r="I45" s="121"/>
      <c r="J45" s="144"/>
      <c r="K45" s="144"/>
      <c r="L45" s="144"/>
      <c r="M45" s="144"/>
      <c r="N45" s="144"/>
      <c r="O45" s="144"/>
      <c r="P45" s="122">
        <f>P46/P76</f>
        <v>4.1128112153722305E-3</v>
      </c>
      <c r="Q45" s="125"/>
    </row>
    <row r="46" spans="1:18" ht="20.100000000000001" customHeight="1">
      <c r="A46" s="346"/>
      <c r="B46" s="350"/>
      <c r="C46" s="348"/>
      <c r="D46" s="126">
        <f>6509.15-589.05+117.81+1008.46</f>
        <v>7046.37</v>
      </c>
      <c r="E46" s="129">
        <f>117.81</f>
        <v>117.81</v>
      </c>
      <c r="F46" s="129">
        <v>117.81</v>
      </c>
      <c r="G46" s="129">
        <v>117.81</v>
      </c>
      <c r="H46" s="129">
        <v>117.81</v>
      </c>
      <c r="I46" s="129"/>
      <c r="J46" s="195"/>
      <c r="K46" s="195"/>
      <c r="L46" s="195"/>
      <c r="M46" s="195"/>
      <c r="N46" s="195"/>
      <c r="O46" s="195"/>
      <c r="P46" s="124">
        <f>SUM(D46:O46)</f>
        <v>7517.6100000000015</v>
      </c>
      <c r="R46" s="125"/>
    </row>
    <row r="47" spans="1:18" ht="20.100000000000001" customHeight="1">
      <c r="A47" s="346"/>
      <c r="B47" s="349" t="s">
        <v>119</v>
      </c>
      <c r="C47" s="347" t="s">
        <v>424</v>
      </c>
      <c r="D47" s="121"/>
      <c r="E47" s="121">
        <f>E48/P48</f>
        <v>0.52432589291465925</v>
      </c>
      <c r="F47" s="121">
        <f>F48/P48</f>
        <v>0.4756741070853408</v>
      </c>
      <c r="G47" s="121"/>
      <c r="H47" s="121"/>
      <c r="I47" s="121"/>
      <c r="J47" s="144"/>
      <c r="K47" s="144"/>
      <c r="L47" s="144"/>
      <c r="M47" s="144"/>
      <c r="N47" s="144"/>
      <c r="O47" s="144"/>
      <c r="P47" s="122">
        <f>P48/P76</f>
        <v>8.9174125946031909E-3</v>
      </c>
    </row>
    <row r="48" spans="1:18" ht="20.100000000000001" customHeight="1">
      <c r="A48" s="346"/>
      <c r="B48" s="350"/>
      <c r="C48" s="348"/>
      <c r="D48" s="126"/>
      <c r="E48" s="129">
        <v>8546.36</v>
      </c>
      <c r="F48" s="129">
        <f>5808.38+1944.47+0.5</f>
        <v>7753.35</v>
      </c>
      <c r="G48" s="129"/>
      <c r="H48" s="129"/>
      <c r="I48" s="129"/>
      <c r="J48" s="195"/>
      <c r="K48" s="195"/>
      <c r="L48" s="195"/>
      <c r="M48" s="195"/>
      <c r="N48" s="195"/>
      <c r="O48" s="195"/>
      <c r="P48" s="124">
        <f>SUM(D48:O48)</f>
        <v>16299.710000000001</v>
      </c>
      <c r="R48" s="125"/>
    </row>
    <row r="49" spans="1:18" ht="20.100000000000001" customHeight="1">
      <c r="A49" s="346"/>
      <c r="B49" s="349" t="s">
        <v>120</v>
      </c>
      <c r="C49" s="347" t="s">
        <v>442</v>
      </c>
      <c r="D49" s="121"/>
      <c r="E49" s="121"/>
      <c r="F49" s="121"/>
      <c r="G49" s="121">
        <f>G50/P50</f>
        <v>0.43634775300437645</v>
      </c>
      <c r="H49" s="121">
        <f>H50/P50</f>
        <v>0.56365224699562355</v>
      </c>
      <c r="I49" s="121"/>
      <c r="J49" s="144"/>
      <c r="K49" s="144"/>
      <c r="L49" s="144"/>
      <c r="M49" s="144"/>
      <c r="N49" s="144"/>
      <c r="O49" s="144"/>
      <c r="P49" s="122">
        <f>P50/P76</f>
        <v>2.1299066371321815E-2</v>
      </c>
      <c r="Q49" s="125"/>
    </row>
    <row r="50" spans="1:18" ht="20.100000000000001" customHeight="1">
      <c r="A50" s="346"/>
      <c r="B50" s="350"/>
      <c r="C50" s="348"/>
      <c r="D50" s="126"/>
      <c r="E50" s="129"/>
      <c r="F50" s="129"/>
      <c r="G50" s="129">
        <f>15987.69+1000</f>
        <v>16987.690000000002</v>
      </c>
      <c r="H50" s="129">
        <f>19391.92-0.23+2552.16</f>
        <v>21943.85</v>
      </c>
      <c r="I50" s="129"/>
      <c r="J50" s="195"/>
      <c r="K50" s="195"/>
      <c r="L50" s="195"/>
      <c r="M50" s="195"/>
      <c r="N50" s="195"/>
      <c r="O50" s="195"/>
      <c r="P50" s="124">
        <f>SUM(D50:O50)</f>
        <v>38931.54</v>
      </c>
      <c r="R50" s="125"/>
    </row>
    <row r="51" spans="1:18" ht="20.100000000000001" customHeight="1">
      <c r="A51" s="346"/>
      <c r="B51" s="349" t="s">
        <v>121</v>
      </c>
      <c r="C51" s="347" t="s">
        <v>459</v>
      </c>
      <c r="D51" s="121"/>
      <c r="E51" s="121"/>
      <c r="F51" s="121"/>
      <c r="G51" s="121"/>
      <c r="H51" s="121"/>
      <c r="I51" s="121">
        <f>I52/P52</f>
        <v>0.5313800196749946</v>
      </c>
      <c r="J51" s="144"/>
      <c r="K51" s="144"/>
      <c r="L51" s="144"/>
      <c r="M51" s="144"/>
      <c r="N51" s="144">
        <f>N52/P52</f>
        <v>0.46861998032500535</v>
      </c>
      <c r="O51" s="144"/>
      <c r="P51" s="122">
        <f>P52/P76</f>
        <v>1.5760652825301306E-2</v>
      </c>
      <c r="Q51" s="125"/>
    </row>
    <row r="52" spans="1:18" ht="20.100000000000001" customHeight="1">
      <c r="A52" s="346"/>
      <c r="B52" s="350"/>
      <c r="C52" s="348"/>
      <c r="D52" s="126"/>
      <c r="E52" s="129"/>
      <c r="F52" s="129"/>
      <c r="G52" s="129"/>
      <c r="H52" s="129"/>
      <c r="I52" s="129">
        <f>13498.36+1809.71</f>
        <v>15308.07</v>
      </c>
      <c r="J52" s="195"/>
      <c r="K52" s="195"/>
      <c r="L52" s="195"/>
      <c r="M52" s="195"/>
      <c r="N52" s="195">
        <f>1000+12500.07</f>
        <v>13500.07</v>
      </c>
      <c r="O52" s="195"/>
      <c r="P52" s="124">
        <f>SUM(D52:O52)</f>
        <v>28808.14</v>
      </c>
      <c r="R52" s="125"/>
    </row>
    <row r="53" spans="1:18" ht="20.100000000000001" customHeight="1">
      <c r="A53" s="346"/>
      <c r="B53" s="349" t="s">
        <v>265</v>
      </c>
      <c r="C53" s="347" t="s">
        <v>464</v>
      </c>
      <c r="D53" s="121"/>
      <c r="E53" s="121"/>
      <c r="F53" s="121"/>
      <c r="G53" s="121"/>
      <c r="H53" s="121"/>
      <c r="I53" s="121"/>
      <c r="J53" s="144">
        <f>J54/P54</f>
        <v>0.57137422966954377</v>
      </c>
      <c r="K53" s="144">
        <f>K54/P54</f>
        <v>0.42862577033045618</v>
      </c>
      <c r="L53" s="144"/>
      <c r="M53" s="144"/>
      <c r="N53" s="144"/>
      <c r="O53" s="144"/>
      <c r="P53" s="122">
        <f>P54/P76</f>
        <v>1.139075295458147E-2</v>
      </c>
      <c r="Q53" s="125"/>
    </row>
    <row r="54" spans="1:18" ht="20.100000000000001" customHeight="1">
      <c r="A54" s="346"/>
      <c r="B54" s="350"/>
      <c r="C54" s="348"/>
      <c r="D54" s="126"/>
      <c r="E54" s="129"/>
      <c r="F54" s="129"/>
      <c r="G54" s="129"/>
      <c r="H54" s="129"/>
      <c r="I54" s="129"/>
      <c r="J54" s="195">
        <f>13896.36-2000</f>
        <v>11896.36</v>
      </c>
      <c r="K54" s="195">
        <f>11596.23-2671.98</f>
        <v>8924.25</v>
      </c>
      <c r="L54" s="195"/>
      <c r="M54" s="195"/>
      <c r="N54" s="195"/>
      <c r="O54" s="195"/>
      <c r="P54" s="124">
        <f>SUM(D54:O54)</f>
        <v>20820.61</v>
      </c>
      <c r="R54" s="125"/>
    </row>
    <row r="55" spans="1:18" ht="20.100000000000001" customHeight="1">
      <c r="A55" s="346"/>
      <c r="B55" s="349" t="s">
        <v>266</v>
      </c>
      <c r="C55" s="347" t="s">
        <v>471</v>
      </c>
      <c r="D55" s="121"/>
      <c r="E55" s="121"/>
      <c r="F55" s="121"/>
      <c r="G55" s="121"/>
      <c r="H55" s="121"/>
      <c r="I55" s="121"/>
      <c r="J55" s="144"/>
      <c r="K55" s="144"/>
      <c r="L55" s="144">
        <f>L56/P56</f>
        <v>0.44283186085238535</v>
      </c>
      <c r="M55" s="144">
        <f>M56/P56</f>
        <v>0.55716813914761465</v>
      </c>
      <c r="N55" s="144"/>
      <c r="O55" s="144"/>
      <c r="P55" s="122">
        <f>P56/P76</f>
        <v>1.2671480313271543E-2</v>
      </c>
      <c r="Q55" s="125"/>
    </row>
    <row r="56" spans="1:18" ht="20.100000000000001" customHeight="1">
      <c r="A56" s="346"/>
      <c r="B56" s="350"/>
      <c r="C56" s="348"/>
      <c r="D56" s="126"/>
      <c r="E56" s="129"/>
      <c r="F56" s="129"/>
      <c r="G56" s="129"/>
      <c r="H56" s="129"/>
      <c r="I56" s="129"/>
      <c r="J56" s="195"/>
      <c r="K56" s="195"/>
      <c r="L56" s="195">
        <f>10256.69</f>
        <v>10256.69</v>
      </c>
      <c r="M56" s="195">
        <f>13784.15-879.25</f>
        <v>12904.9</v>
      </c>
      <c r="N56" s="195"/>
      <c r="O56" s="195"/>
      <c r="P56" s="124">
        <f>SUM(F56:O56)</f>
        <v>23161.59</v>
      </c>
      <c r="R56" s="125"/>
    </row>
    <row r="57" spans="1:18" ht="20.100000000000001" customHeight="1">
      <c r="A57" s="346"/>
      <c r="B57" s="349" t="s">
        <v>783</v>
      </c>
      <c r="C57" s="347" t="s">
        <v>482</v>
      </c>
      <c r="D57" s="121"/>
      <c r="E57" s="121"/>
      <c r="F57" s="121"/>
      <c r="G57" s="121"/>
      <c r="H57" s="121"/>
      <c r="I57" s="121"/>
      <c r="J57" s="144">
        <f>J58/P58</f>
        <v>1</v>
      </c>
      <c r="K57" s="144"/>
      <c r="L57" s="144"/>
      <c r="M57" s="144"/>
      <c r="N57" s="144"/>
      <c r="O57" s="144"/>
      <c r="P57" s="122">
        <f>P58/P76</f>
        <v>7.7433185986425209E-3</v>
      </c>
      <c r="Q57" s="125"/>
    </row>
    <row r="58" spans="1:18" ht="20.100000000000001" customHeight="1">
      <c r="A58" s="346"/>
      <c r="B58" s="350"/>
      <c r="C58" s="348"/>
      <c r="D58" s="126"/>
      <c r="E58" s="129"/>
      <c r="F58" s="129"/>
      <c r="G58" s="129"/>
      <c r="H58" s="129"/>
      <c r="I58" s="129"/>
      <c r="J58" s="195">
        <v>14153.64</v>
      </c>
      <c r="K58" s="195"/>
      <c r="L58" s="195"/>
      <c r="M58" s="195"/>
      <c r="N58" s="195"/>
      <c r="O58" s="195"/>
      <c r="P58" s="124">
        <f>SUM(H58:O58)</f>
        <v>14153.64</v>
      </c>
    </row>
    <row r="59" spans="1:18" ht="20.100000000000001" customHeight="1">
      <c r="A59" s="346"/>
      <c r="B59" s="349" t="s">
        <v>784</v>
      </c>
      <c r="C59" s="347" t="s">
        <v>57</v>
      </c>
      <c r="D59" s="121"/>
      <c r="E59" s="121"/>
      <c r="F59" s="121"/>
      <c r="G59" s="121"/>
      <c r="H59" s="121"/>
      <c r="I59" s="121"/>
      <c r="J59" s="144"/>
      <c r="K59" s="144"/>
      <c r="L59" s="144"/>
      <c r="M59" s="144">
        <f>M60/P60</f>
        <v>1</v>
      </c>
      <c r="N59" s="144"/>
      <c r="O59" s="144"/>
      <c r="P59" s="122">
        <f>P60/P76</f>
        <v>3.7970307168477186E-3</v>
      </c>
      <c r="Q59" s="125"/>
    </row>
    <row r="60" spans="1:18" ht="20.100000000000001" customHeight="1">
      <c r="A60" s="346"/>
      <c r="B60" s="350"/>
      <c r="C60" s="348"/>
      <c r="D60" s="126"/>
      <c r="E60" s="129"/>
      <c r="F60" s="129"/>
      <c r="G60" s="129"/>
      <c r="H60" s="129"/>
      <c r="I60" s="129"/>
      <c r="J60" s="195"/>
      <c r="K60" s="195"/>
      <c r="L60" s="195"/>
      <c r="M60" s="195">
        <v>6940.41</v>
      </c>
      <c r="N60" s="195"/>
      <c r="O60" s="195"/>
      <c r="P60" s="124">
        <f>SUM(K60:O60)</f>
        <v>6940.41</v>
      </c>
    </row>
    <row r="61" spans="1:18" ht="20.100000000000001" customHeight="1">
      <c r="A61" s="346"/>
      <c r="B61" s="349" t="s">
        <v>785</v>
      </c>
      <c r="C61" s="347" t="s">
        <v>493</v>
      </c>
      <c r="D61" s="121"/>
      <c r="E61" s="121"/>
      <c r="F61" s="121"/>
      <c r="G61" s="121"/>
      <c r="H61" s="121"/>
      <c r="I61" s="121"/>
      <c r="J61" s="144"/>
      <c r="K61" s="144"/>
      <c r="L61" s="144"/>
      <c r="M61" s="144"/>
      <c r="N61" s="144">
        <f>N62/P62</f>
        <v>0.43494630668231821</v>
      </c>
      <c r="O61" s="144">
        <f>O62/P62</f>
        <v>0.56505369331768185</v>
      </c>
      <c r="P61" s="122">
        <f>P62/P76</f>
        <v>1.8875434632438367E-3</v>
      </c>
      <c r="Q61" s="125"/>
    </row>
    <row r="62" spans="1:18" ht="20.100000000000001" customHeight="1">
      <c r="A62" s="346"/>
      <c r="B62" s="350"/>
      <c r="C62" s="348"/>
      <c r="D62" s="126"/>
      <c r="E62" s="129"/>
      <c r="F62" s="129"/>
      <c r="G62" s="129"/>
      <c r="H62" s="129"/>
      <c r="I62" s="129"/>
      <c r="J62" s="195"/>
      <c r="K62" s="195"/>
      <c r="L62" s="195"/>
      <c r="M62" s="195"/>
      <c r="N62" s="195">
        <v>1500.63</v>
      </c>
      <c r="O62" s="195">
        <f>1786.9+162.62</f>
        <v>1949.52</v>
      </c>
      <c r="P62" s="124">
        <f>SUM(H62:O62)</f>
        <v>3450.15</v>
      </c>
      <c r="R62" s="125"/>
    </row>
    <row r="63" spans="1:18" ht="20.100000000000001" customHeight="1">
      <c r="A63" s="346"/>
      <c r="B63" s="349" t="s">
        <v>786</v>
      </c>
      <c r="C63" s="347" t="s">
        <v>153</v>
      </c>
      <c r="D63" s="121"/>
      <c r="E63" s="121"/>
      <c r="F63" s="121">
        <f>F64/P64</f>
        <v>0.33633306300581906</v>
      </c>
      <c r="G63" s="121"/>
      <c r="H63" s="121"/>
      <c r="I63" s="121"/>
      <c r="J63" s="144"/>
      <c r="K63" s="144"/>
      <c r="L63" s="144"/>
      <c r="M63" s="144"/>
      <c r="N63" s="144">
        <f>N64/P64</f>
        <v>0.66366693699418111</v>
      </c>
      <c r="O63" s="144"/>
      <c r="P63" s="122">
        <f>P64/P76</f>
        <v>5.2349097529479889E-3</v>
      </c>
      <c r="Q63" s="125"/>
    </row>
    <row r="64" spans="1:18" ht="20.100000000000001" customHeight="1">
      <c r="A64" s="346"/>
      <c r="B64" s="350"/>
      <c r="C64" s="348"/>
      <c r="D64" s="126"/>
      <c r="E64" s="129"/>
      <c r="F64" s="129">
        <v>3218.25</v>
      </c>
      <c r="G64" s="129"/>
      <c r="H64" s="129"/>
      <c r="I64" s="129"/>
      <c r="J64" s="195"/>
      <c r="K64" s="195"/>
      <c r="L64" s="195"/>
      <c r="M64" s="195"/>
      <c r="N64" s="195">
        <f>2325.36+4025.03</f>
        <v>6350.39</v>
      </c>
      <c r="O64" s="195"/>
      <c r="P64" s="124">
        <f>SUM(D64:O64)</f>
        <v>9568.64</v>
      </c>
      <c r="R64" s="125"/>
    </row>
    <row r="65" spans="1:18" ht="15.75" customHeight="1">
      <c r="A65" s="346"/>
      <c r="B65" s="349" t="s">
        <v>787</v>
      </c>
      <c r="C65" s="347" t="s">
        <v>538</v>
      </c>
      <c r="D65" s="121"/>
      <c r="E65" s="121"/>
      <c r="F65" s="121"/>
      <c r="G65" s="121">
        <f>G66/P66</f>
        <v>0.22646420578057863</v>
      </c>
      <c r="H65" s="121">
        <f>H66/P66</f>
        <v>0.25444232759387242</v>
      </c>
      <c r="I65" s="121"/>
      <c r="J65" s="144"/>
      <c r="K65" s="144">
        <f>K66/P66</f>
        <v>0.51909346662554889</v>
      </c>
      <c r="L65" s="144"/>
      <c r="M65" s="144"/>
      <c r="N65" s="144"/>
      <c r="O65" s="144"/>
      <c r="P65" s="122">
        <f>P66/P76</f>
        <v>1.445858347553805E-2</v>
      </c>
      <c r="Q65" s="125"/>
    </row>
    <row r="66" spans="1:18" ht="20.100000000000001" customHeight="1">
      <c r="A66" s="346"/>
      <c r="B66" s="350"/>
      <c r="C66" s="348"/>
      <c r="D66" s="126"/>
      <c r="E66" s="129"/>
      <c r="F66" s="129"/>
      <c r="G66" s="129">
        <v>5985.03</v>
      </c>
      <c r="H66" s="129">
        <f>6896.36-171.92</f>
        <v>6724.44</v>
      </c>
      <c r="I66" s="129"/>
      <c r="J66" s="195"/>
      <c r="K66" s="195">
        <f>4987.36+8731.32</f>
        <v>13718.68</v>
      </c>
      <c r="L66" s="195"/>
      <c r="M66" s="195"/>
      <c r="N66" s="195"/>
      <c r="O66" s="195"/>
      <c r="P66" s="124">
        <f>SUM(D66:O66)</f>
        <v>26428.15</v>
      </c>
      <c r="R66" s="125"/>
    </row>
    <row r="67" spans="1:18" ht="15.75" customHeight="1">
      <c r="A67" s="346"/>
      <c r="B67" s="349" t="s">
        <v>788</v>
      </c>
      <c r="C67" s="347" t="s">
        <v>560</v>
      </c>
      <c r="D67" s="121"/>
      <c r="E67" s="121"/>
      <c r="F67" s="121"/>
      <c r="G67" s="121"/>
      <c r="H67" s="121"/>
      <c r="I67" s="121"/>
      <c r="J67" s="144"/>
      <c r="K67" s="144"/>
      <c r="L67" s="144"/>
      <c r="M67" s="144">
        <f>M68/P68</f>
        <v>0.68579787192211195</v>
      </c>
      <c r="N67" s="144">
        <f>N68/P68</f>
        <v>0.31420212807788794</v>
      </c>
      <c r="O67" s="144"/>
      <c r="P67" s="122">
        <f>P68/P76</f>
        <v>1.1826280569386378E-2</v>
      </c>
      <c r="Q67" s="125"/>
    </row>
    <row r="68" spans="1:18" ht="20.100000000000001" customHeight="1">
      <c r="A68" s="346"/>
      <c r="B68" s="350"/>
      <c r="C68" s="348"/>
      <c r="D68" s="126"/>
      <c r="E68" s="129"/>
      <c r="F68" s="129"/>
      <c r="G68" s="129"/>
      <c r="H68" s="129"/>
      <c r="I68" s="129"/>
      <c r="J68" s="195"/>
      <c r="K68" s="195"/>
      <c r="L68" s="195"/>
      <c r="M68" s="195">
        <f>4896.36+4362+5566.32</f>
        <v>14824.68</v>
      </c>
      <c r="N68" s="195">
        <f>3895.65+2896.36</f>
        <v>6792.01</v>
      </c>
      <c r="O68" s="195"/>
      <c r="P68" s="124">
        <f>SUM(D68:O68)</f>
        <v>21616.690000000002</v>
      </c>
      <c r="R68" s="125"/>
    </row>
    <row r="69" spans="1:18" ht="15.75" customHeight="1">
      <c r="A69" s="346"/>
      <c r="B69" s="349" t="s">
        <v>789</v>
      </c>
      <c r="C69" s="347" t="s">
        <v>259</v>
      </c>
      <c r="D69" s="121"/>
      <c r="E69" s="121"/>
      <c r="F69" s="121"/>
      <c r="G69" s="121"/>
      <c r="H69" s="121"/>
      <c r="I69" s="121"/>
      <c r="J69" s="144"/>
      <c r="K69" s="144"/>
      <c r="L69" s="144"/>
      <c r="M69" s="144"/>
      <c r="N69" s="144"/>
      <c r="O69" s="144">
        <f>O70/P70</f>
        <v>1</v>
      </c>
      <c r="P69" s="122">
        <f>P70/P76</f>
        <v>3.1723575861819666E-4</v>
      </c>
      <c r="Q69" s="125"/>
    </row>
    <row r="70" spans="1:18" ht="20.100000000000001" customHeight="1">
      <c r="A70" s="346"/>
      <c r="B70" s="350"/>
      <c r="C70" s="348"/>
      <c r="D70" s="126"/>
      <c r="E70" s="129"/>
      <c r="F70" s="129"/>
      <c r="G70" s="129"/>
      <c r="H70" s="129"/>
      <c r="I70" s="129"/>
      <c r="J70" s="195"/>
      <c r="K70" s="195"/>
      <c r="L70" s="195"/>
      <c r="M70" s="195"/>
      <c r="N70" s="195"/>
      <c r="O70" s="195">
        <v>579.86</v>
      </c>
      <c r="P70" s="124">
        <f>O70</f>
        <v>579.86</v>
      </c>
    </row>
    <row r="71" spans="1:18" ht="20.100000000000001" customHeight="1">
      <c r="A71" s="346" t="s">
        <v>764</v>
      </c>
      <c r="B71" s="349" t="s">
        <v>131</v>
      </c>
      <c r="C71" s="347" t="s">
        <v>791</v>
      </c>
      <c r="D71" s="121"/>
      <c r="E71" s="121"/>
      <c r="F71" s="121"/>
      <c r="G71" s="121"/>
      <c r="H71" s="121"/>
      <c r="I71" s="121"/>
      <c r="J71" s="144"/>
      <c r="K71" s="144">
        <f>K72/P72</f>
        <v>0.24123809372992769</v>
      </c>
      <c r="L71" s="144">
        <f>L72/P72</f>
        <v>0.20265291453286249</v>
      </c>
      <c r="M71" s="144">
        <f>M72/P72</f>
        <v>0.20593207540756803</v>
      </c>
      <c r="N71" s="144">
        <f>N72/P72</f>
        <v>0.25805567003221613</v>
      </c>
      <c r="O71" s="144">
        <f>O72/P72</f>
        <v>9.2121246297425685E-2</v>
      </c>
      <c r="P71" s="122">
        <f>P72/P74</f>
        <v>71.763815648148793</v>
      </c>
    </row>
    <row r="72" spans="1:18" ht="20.100000000000001" customHeight="1">
      <c r="A72" s="346"/>
      <c r="B72" s="350"/>
      <c r="C72" s="348"/>
      <c r="D72" s="126"/>
      <c r="E72" s="129"/>
      <c r="F72" s="129"/>
      <c r="G72" s="129"/>
      <c r="H72" s="129"/>
      <c r="I72" s="129"/>
      <c r="J72" s="195"/>
      <c r="K72" s="195">
        <v>24983.360000000001</v>
      </c>
      <c r="L72" s="195">
        <v>20987.360000000001</v>
      </c>
      <c r="M72" s="195">
        <v>21326.959999999999</v>
      </c>
      <c r="N72" s="195">
        <v>26725.040000000001</v>
      </c>
      <c r="O72" s="195">
        <v>9540.36</v>
      </c>
      <c r="P72" s="124">
        <f>SUM(D72:O72)</f>
        <v>103563.08</v>
      </c>
    </row>
    <row r="73" spans="1:18" ht="16.5" customHeight="1">
      <c r="A73" s="346"/>
      <c r="B73" s="349" t="s">
        <v>119</v>
      </c>
      <c r="C73" s="347" t="s">
        <v>890</v>
      </c>
      <c r="D73" s="121"/>
      <c r="E73" s="121"/>
      <c r="F73" s="121"/>
      <c r="G73" s="121"/>
      <c r="H73" s="121"/>
      <c r="I73" s="121"/>
      <c r="J73" s="144">
        <f>J74/P74</f>
        <v>1</v>
      </c>
      <c r="K73" s="144"/>
      <c r="L73" s="144"/>
      <c r="M73" s="144"/>
      <c r="N73" s="144"/>
      <c r="O73" s="144"/>
      <c r="P73" s="122">
        <f>P74/P76</f>
        <v>7.8951142623996434E-4</v>
      </c>
    </row>
    <row r="74" spans="1:18" ht="16.5" customHeight="1">
      <c r="A74" s="346"/>
      <c r="B74" s="350"/>
      <c r="C74" s="348"/>
      <c r="D74" s="126"/>
      <c r="E74" s="129"/>
      <c r="F74" s="129"/>
      <c r="G74" s="129"/>
      <c r="H74" s="129"/>
      <c r="I74" s="129"/>
      <c r="J74" s="195">
        <v>1443.11</v>
      </c>
      <c r="K74" s="195"/>
      <c r="L74" s="195"/>
      <c r="M74" s="195"/>
      <c r="N74" s="195"/>
      <c r="O74" s="195"/>
      <c r="P74" s="124">
        <f>SUM(D74:O74)</f>
        <v>1443.11</v>
      </c>
      <c r="R74" s="125"/>
    </row>
    <row r="75" spans="1:18" ht="19.5" customHeight="1">
      <c r="A75" s="351"/>
      <c r="B75" s="354" t="s">
        <v>122</v>
      </c>
      <c r="C75" s="355"/>
      <c r="D75" s="130">
        <f>D76/P76</f>
        <v>0.18968979407768774</v>
      </c>
      <c r="E75" s="130">
        <f>E76/P76</f>
        <v>0.1587344915981844</v>
      </c>
      <c r="F75" s="130">
        <f>F76/P76</f>
        <v>0.13541335226849199</v>
      </c>
      <c r="G75" s="130">
        <f>G76/P76</f>
        <v>0.14542272966910696</v>
      </c>
      <c r="H75" s="130">
        <f>H76/P76</f>
        <v>0.11365430334770822</v>
      </c>
      <c r="I75" s="130">
        <f>I76/P76</f>
        <v>9.3375078873319028E-2</v>
      </c>
      <c r="J75" s="196">
        <f>J76/P76</f>
        <v>4.51816570811438E-2</v>
      </c>
      <c r="K75" s="196">
        <f>K76/P76</f>
        <v>3.4178829417776425E-2</v>
      </c>
      <c r="L75" s="196">
        <f>L76/P76</f>
        <v>1.7093315462447602E-2</v>
      </c>
      <c r="M75" s="196">
        <f>M76/P76</f>
        <v>3.0635385978607294E-2</v>
      </c>
      <c r="N75" s="196">
        <f>N76/P76</f>
        <v>3.0017825021331733E-2</v>
      </c>
      <c r="O75" s="196">
        <f>O76/P76</f>
        <v>6.6032372041947935E-3</v>
      </c>
      <c r="P75" s="131">
        <f>SUM(D75:O75)</f>
        <v>1</v>
      </c>
      <c r="Q75" s="125"/>
    </row>
    <row r="76" spans="1:18" ht="20.25" customHeight="1">
      <c r="A76" s="351"/>
      <c r="B76" s="354" t="s">
        <v>123</v>
      </c>
      <c r="C76" s="355"/>
      <c r="D76" s="132">
        <f>D28+D24+D22+D20+D32+D46+D42</f>
        <v>346724.86</v>
      </c>
      <c r="E76" s="132">
        <f>E28+E24+E22+E20+E34+E48+E46+E25+E42</f>
        <v>290143.14999999997</v>
      </c>
      <c r="F76" s="132">
        <f>F28+F24+F22+F20+F34+F64+F48+F46+F42</f>
        <v>247515.56000000003</v>
      </c>
      <c r="G76" s="132">
        <f>G22+G74+G36+G28+G66+G50+G46+G42</f>
        <v>265811.22000000003</v>
      </c>
      <c r="H76" s="132">
        <f>H22+H38+H28+H66+H50+H46+H44</f>
        <v>207743.24</v>
      </c>
      <c r="I76" s="132">
        <f>I26+I24+I22+I20+I28+I74+I40+I38+I52+I44</f>
        <v>170675.81999999998</v>
      </c>
      <c r="J76" s="197">
        <f>J38+J24+J58+J54+J30+J74</f>
        <v>82585.38</v>
      </c>
      <c r="K76" s="197">
        <f>K26+K66+K54+K30+K72+K40</f>
        <v>62473.840000000004</v>
      </c>
      <c r="L76" s="197">
        <f>L56+L42+L72</f>
        <v>31244.050000000003</v>
      </c>
      <c r="M76" s="197">
        <f>M56+M42+M72+M68+M60</f>
        <v>55996.95</v>
      </c>
      <c r="N76" s="197">
        <f>N68+N64+N60+N52+N42+N72+N62</f>
        <v>54868.14</v>
      </c>
      <c r="O76" s="197">
        <f>O42+O72+O70+O62</f>
        <v>12069.740000000002</v>
      </c>
      <c r="P76" s="133">
        <f>SUM(D76:O76)</f>
        <v>1827851.95</v>
      </c>
    </row>
    <row r="77" spans="1:18" ht="8.25" customHeight="1">
      <c r="A77" s="142"/>
      <c r="B77" s="134"/>
      <c r="C77" s="134"/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34"/>
      <c r="O77" s="134"/>
      <c r="P77" s="135"/>
    </row>
    <row r="78" spans="1:18" ht="15" customHeight="1">
      <c r="A78" s="141"/>
      <c r="B78" s="357" t="s">
        <v>903</v>
      </c>
      <c r="C78" s="357"/>
      <c r="D78" s="357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5"/>
    </row>
    <row r="79" spans="1:18" ht="15" customHeight="1">
      <c r="A79" s="141"/>
      <c r="B79" s="136"/>
      <c r="C79" s="136"/>
      <c r="D79" s="136"/>
      <c r="E79" s="136"/>
      <c r="F79" s="359"/>
      <c r="G79" s="359"/>
      <c r="H79" s="359"/>
      <c r="I79" s="136"/>
      <c r="J79" s="136"/>
      <c r="K79" s="136"/>
      <c r="L79" s="136"/>
      <c r="M79" s="136"/>
      <c r="N79" s="136"/>
      <c r="O79" s="136"/>
      <c r="P79" s="137"/>
    </row>
    <row r="80" spans="1:18" ht="15" customHeight="1">
      <c r="A80" s="141"/>
      <c r="B80" s="136"/>
      <c r="C80" s="136"/>
      <c r="D80" s="136"/>
      <c r="E80" s="358" t="s">
        <v>124</v>
      </c>
      <c r="F80" s="358"/>
      <c r="G80" s="358"/>
      <c r="H80" s="358"/>
      <c r="I80" s="358"/>
      <c r="J80" s="277"/>
      <c r="K80" s="277"/>
      <c r="L80" s="277"/>
      <c r="M80" s="277"/>
      <c r="N80" s="277"/>
      <c r="O80" s="277"/>
      <c r="P80" s="137"/>
    </row>
    <row r="81" spans="1:16" ht="15" customHeight="1">
      <c r="A81" s="141"/>
      <c r="B81" s="136"/>
      <c r="C81" s="136"/>
      <c r="D81" s="136"/>
      <c r="E81" s="358" t="s">
        <v>125</v>
      </c>
      <c r="F81" s="358"/>
      <c r="G81" s="358"/>
      <c r="H81" s="358"/>
      <c r="I81" s="358"/>
      <c r="J81" s="277"/>
      <c r="K81" s="277"/>
      <c r="L81" s="277"/>
      <c r="M81" s="277"/>
      <c r="N81" s="277"/>
      <c r="O81" s="277"/>
      <c r="P81" s="137"/>
    </row>
    <row r="82" spans="1:16" ht="21" customHeight="1">
      <c r="A82" s="143"/>
      <c r="B82" s="138"/>
      <c r="C82" s="138"/>
      <c r="D82" s="138"/>
      <c r="E82" s="356" t="s">
        <v>134</v>
      </c>
      <c r="F82" s="356"/>
      <c r="G82" s="356"/>
      <c r="H82" s="356"/>
      <c r="I82" s="356"/>
      <c r="J82" s="276"/>
      <c r="K82" s="276"/>
      <c r="L82" s="276"/>
      <c r="M82" s="276"/>
      <c r="N82" s="276"/>
      <c r="O82" s="276"/>
      <c r="P82" s="139"/>
    </row>
  </sheetData>
  <mergeCells count="81">
    <mergeCell ref="A13:P13"/>
    <mergeCell ref="A14:P14"/>
    <mergeCell ref="A15:P15"/>
    <mergeCell ref="A16:P16"/>
    <mergeCell ref="B31:B32"/>
    <mergeCell ref="C31:C32"/>
    <mergeCell ref="A27:A30"/>
    <mergeCell ref="B29:B30"/>
    <mergeCell ref="C29:C30"/>
    <mergeCell ref="B27:B28"/>
    <mergeCell ref="C27:C28"/>
    <mergeCell ref="P17:P18"/>
    <mergeCell ref="B18:C18"/>
    <mergeCell ref="B19:B20"/>
    <mergeCell ref="C19:C20"/>
    <mergeCell ref="A1:P8"/>
    <mergeCell ref="A10:P10"/>
    <mergeCell ref="A9:P9"/>
    <mergeCell ref="A12:P12"/>
    <mergeCell ref="A11:P11"/>
    <mergeCell ref="B43:B44"/>
    <mergeCell ref="B69:B70"/>
    <mergeCell ref="C69:C70"/>
    <mergeCell ref="E82:I82"/>
    <mergeCell ref="B78:D78"/>
    <mergeCell ref="E80:I80"/>
    <mergeCell ref="E81:I81"/>
    <mergeCell ref="F79:H79"/>
    <mergeCell ref="C71:C72"/>
    <mergeCell ref="B37:B38"/>
    <mergeCell ref="C37:C38"/>
    <mergeCell ref="B39:B40"/>
    <mergeCell ref="C39:C40"/>
    <mergeCell ref="C41:C42"/>
    <mergeCell ref="B35:B36"/>
    <mergeCell ref="C35:C36"/>
    <mergeCell ref="A75:A76"/>
    <mergeCell ref="A19:A26"/>
    <mergeCell ref="C25:C26"/>
    <mergeCell ref="B25:B26"/>
    <mergeCell ref="B75:C75"/>
    <mergeCell ref="B76:C76"/>
    <mergeCell ref="B21:B22"/>
    <mergeCell ref="C21:C22"/>
    <mergeCell ref="B23:B24"/>
    <mergeCell ref="C23:C24"/>
    <mergeCell ref="B73:B74"/>
    <mergeCell ref="B33:B34"/>
    <mergeCell ref="C33:C34"/>
    <mergeCell ref="B41:B42"/>
    <mergeCell ref="A41:A44"/>
    <mergeCell ref="B67:B68"/>
    <mergeCell ref="C67:C68"/>
    <mergeCell ref="A31:A40"/>
    <mergeCell ref="B45:B46"/>
    <mergeCell ref="C45:C46"/>
    <mergeCell ref="B47:B48"/>
    <mergeCell ref="C47:C48"/>
    <mergeCell ref="C43:C44"/>
    <mergeCell ref="B63:B64"/>
    <mergeCell ref="C63:C64"/>
    <mergeCell ref="B65:B66"/>
    <mergeCell ref="C65:C66"/>
    <mergeCell ref="B49:B50"/>
    <mergeCell ref="C49:C50"/>
    <mergeCell ref="B51:B52"/>
    <mergeCell ref="A71:A74"/>
    <mergeCell ref="A45:A70"/>
    <mergeCell ref="C59:C60"/>
    <mergeCell ref="B61:B62"/>
    <mergeCell ref="C61:C62"/>
    <mergeCell ref="C51:C52"/>
    <mergeCell ref="B53:B54"/>
    <mergeCell ref="C53:C54"/>
    <mergeCell ref="B55:B56"/>
    <mergeCell ref="C55:C56"/>
    <mergeCell ref="B57:B58"/>
    <mergeCell ref="C57:C58"/>
    <mergeCell ref="B59:B60"/>
    <mergeCell ref="C73:C74"/>
    <mergeCell ref="B71:B72"/>
  </mergeCells>
  <pageMargins left="0.70866141732283472" right="0.51181102362204722" top="0.74803149606299213" bottom="0.74803149606299213" header="0.31496062992125984" footer="0.31496062992125984"/>
  <pageSetup paperSize="9" scale="50" fitToHeight="0" orientation="landscape" horizontalDpi="4294967292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00"/>
  <sheetViews>
    <sheetView showGridLines="0" view="pageBreakPreview" zoomScale="70" zoomScaleNormal="120" zoomScaleSheetLayoutView="70" workbookViewId="0">
      <selection activeCell="T75" sqref="T75"/>
    </sheetView>
  </sheetViews>
  <sheetFormatPr defaultRowHeight="15"/>
  <cols>
    <col min="1" max="1" width="9.140625" style="56"/>
    <col min="2" max="2" width="6.140625" style="56" customWidth="1"/>
    <col min="3" max="3" width="11.42578125" style="56" customWidth="1"/>
    <col min="4" max="4" width="27.28515625" style="56" customWidth="1"/>
    <col min="5" max="5" width="3.7109375" style="56" customWidth="1"/>
    <col min="6" max="6" width="10.5703125" style="56" bestFit="1" customWidth="1"/>
    <col min="7" max="7" width="7.7109375" style="56" customWidth="1"/>
    <col min="8" max="8" width="8.7109375" style="56" customWidth="1"/>
    <col min="9" max="9" width="2.7109375" style="56" customWidth="1"/>
    <col min="10" max="10" width="10.5703125" style="56" bestFit="1" customWidth="1"/>
    <col min="11" max="11" width="7.7109375" style="56" customWidth="1"/>
    <col min="12" max="12" width="8.7109375" style="56" customWidth="1"/>
    <col min="13" max="13" width="2.7109375" style="56" customWidth="1"/>
    <col min="14" max="14" width="5.7109375" style="56" customWidth="1"/>
    <col min="15" max="15" width="7.5703125" style="56" customWidth="1"/>
    <col min="16" max="16" width="5.5703125" style="56" customWidth="1"/>
    <col min="17" max="17" width="8.7109375" style="56" customWidth="1"/>
    <col min="18" max="18" width="2.7109375" style="56" customWidth="1"/>
    <col min="19" max="19" width="22.28515625" style="56" customWidth="1"/>
    <col min="20" max="20" width="25.28515625" style="56" customWidth="1"/>
    <col min="21" max="21" width="31.28515625" style="95" customWidth="1"/>
    <col min="22" max="25" width="9.140625" style="95"/>
    <col min="26" max="28" width="9.140625" style="113"/>
    <col min="29" max="16384" width="9.140625" style="56"/>
  </cols>
  <sheetData>
    <row r="1" spans="2:28" ht="20.100000000000001" customHeight="1">
      <c r="B1" s="401"/>
      <c r="C1" s="401"/>
      <c r="D1" s="402" t="s">
        <v>78</v>
      </c>
      <c r="E1" s="403"/>
      <c r="F1" s="403"/>
      <c r="G1" s="403"/>
      <c r="H1" s="403"/>
      <c r="I1" s="403"/>
      <c r="J1" s="403"/>
      <c r="K1" s="403"/>
      <c r="L1" s="403"/>
      <c r="M1" s="403"/>
      <c r="N1" s="403"/>
      <c r="O1" s="403"/>
      <c r="P1" s="403"/>
      <c r="Q1" s="403"/>
      <c r="R1" s="403"/>
      <c r="S1" s="403"/>
      <c r="T1" s="53"/>
      <c r="U1" s="54"/>
      <c r="V1" s="54"/>
      <c r="W1" s="54"/>
      <c r="X1" s="54"/>
      <c r="Y1" s="54"/>
      <c r="Z1" s="55"/>
      <c r="AA1" s="55"/>
      <c r="AB1" s="55"/>
    </row>
    <row r="2" spans="2:28" s="60" customFormat="1" ht="30" customHeight="1">
      <c r="B2" s="401"/>
      <c r="C2" s="401"/>
      <c r="D2" s="402"/>
      <c r="E2" s="403"/>
      <c r="F2" s="403"/>
      <c r="G2" s="403"/>
      <c r="H2" s="403"/>
      <c r="I2" s="403"/>
      <c r="J2" s="403"/>
      <c r="K2" s="403"/>
      <c r="L2" s="403"/>
      <c r="M2" s="403"/>
      <c r="N2" s="403"/>
      <c r="O2" s="403"/>
      <c r="P2" s="403"/>
      <c r="Q2" s="403"/>
      <c r="R2" s="403"/>
      <c r="S2" s="403"/>
      <c r="T2" s="57"/>
      <c r="U2" s="58"/>
      <c r="V2" s="58"/>
      <c r="W2" s="58"/>
      <c r="X2" s="58"/>
      <c r="Y2" s="58"/>
      <c r="Z2" s="59"/>
      <c r="AA2" s="59"/>
      <c r="AB2" s="59"/>
    </row>
    <row r="3" spans="2:28" ht="20.100000000000001" customHeight="1">
      <c r="B3" s="401"/>
      <c r="C3" s="401"/>
      <c r="D3" s="53"/>
      <c r="E3" s="53"/>
      <c r="F3" s="53"/>
      <c r="G3" s="53"/>
      <c r="H3" s="187"/>
      <c r="I3" s="187"/>
      <c r="J3" s="187"/>
      <c r="K3" s="187"/>
      <c r="L3" s="187"/>
      <c r="M3" s="187"/>
      <c r="N3" s="187"/>
      <c r="O3" s="53"/>
      <c r="P3" s="53"/>
      <c r="Q3" s="53"/>
      <c r="R3" s="53"/>
      <c r="S3" s="64"/>
      <c r="T3" s="53"/>
      <c r="U3" s="54"/>
      <c r="V3" s="54"/>
      <c r="W3" s="54"/>
      <c r="X3" s="54"/>
      <c r="Y3" s="54"/>
      <c r="Z3" s="55"/>
      <c r="AA3" s="55"/>
      <c r="AB3" s="55"/>
    </row>
    <row r="4" spans="2:28" ht="20.100000000000001" customHeight="1">
      <c r="B4" s="401"/>
      <c r="C4" s="401"/>
      <c r="D4" s="53"/>
      <c r="E4" s="53"/>
      <c r="F4" s="53"/>
      <c r="G4" s="53"/>
      <c r="H4" s="187"/>
      <c r="I4" s="187"/>
      <c r="J4" s="187"/>
      <c r="K4" s="187"/>
      <c r="L4" s="187"/>
      <c r="M4" s="187"/>
      <c r="N4" s="187"/>
      <c r="O4" s="53"/>
      <c r="P4" s="53"/>
      <c r="Q4" s="53"/>
      <c r="R4" s="53"/>
      <c r="S4" s="61"/>
      <c r="T4" s="53"/>
      <c r="U4" s="62"/>
      <c r="V4" s="54"/>
      <c r="W4" s="54"/>
      <c r="X4" s="54"/>
      <c r="Y4" s="54"/>
      <c r="Z4" s="55"/>
      <c r="AA4" s="55"/>
      <c r="AB4" s="55"/>
    </row>
    <row r="5" spans="2:28" ht="9.9499999999999993" customHeight="1"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404"/>
      <c r="Q5" s="404"/>
      <c r="R5" s="404"/>
      <c r="S5" s="404"/>
      <c r="T5" s="53"/>
      <c r="U5" s="62"/>
      <c r="V5" s="54"/>
      <c r="W5" s="54"/>
      <c r="X5" s="54"/>
      <c r="Y5" s="54"/>
      <c r="Z5" s="55"/>
      <c r="AA5" s="55"/>
      <c r="AB5" s="55"/>
    </row>
    <row r="6" spans="2:28" ht="24.95" customHeight="1">
      <c r="B6" s="405" t="s">
        <v>79</v>
      </c>
      <c r="C6" s="405"/>
      <c r="D6" s="406" t="s">
        <v>379</v>
      </c>
      <c r="E6" s="406"/>
      <c r="F6" s="406"/>
      <c r="G6" s="406"/>
      <c r="H6" s="406"/>
      <c r="I6" s="406"/>
      <c r="J6" s="406"/>
      <c r="K6" s="63"/>
      <c r="L6" s="63"/>
      <c r="M6" s="407" t="s">
        <v>80</v>
      </c>
      <c r="N6" s="407"/>
      <c r="O6" s="407"/>
      <c r="P6" s="407"/>
      <c r="Q6" s="407"/>
      <c r="R6" s="65"/>
      <c r="S6" s="188" t="s">
        <v>81</v>
      </c>
      <c r="T6" s="66"/>
      <c r="U6" s="67"/>
      <c r="V6" s="54"/>
      <c r="W6" s="54"/>
      <c r="X6" s="54"/>
      <c r="Y6" s="54"/>
      <c r="Z6" s="55"/>
      <c r="AA6" s="55"/>
      <c r="AB6" s="55"/>
    </row>
    <row r="7" spans="2:28" ht="30" customHeight="1">
      <c r="B7" s="405" t="s">
        <v>82</v>
      </c>
      <c r="C7" s="405"/>
      <c r="D7" s="406" t="s">
        <v>133</v>
      </c>
      <c r="E7" s="408"/>
      <c r="F7" s="408"/>
      <c r="G7" s="408"/>
      <c r="H7" s="408"/>
      <c r="I7" s="408"/>
      <c r="J7" s="408"/>
      <c r="K7" s="68"/>
      <c r="L7" s="68"/>
      <c r="M7" s="409" t="s">
        <v>895</v>
      </c>
      <c r="N7" s="410"/>
      <c r="O7" s="410"/>
      <c r="P7" s="410"/>
      <c r="Q7" s="410"/>
      <c r="R7" s="69"/>
      <c r="S7" s="200" t="s">
        <v>894</v>
      </c>
      <c r="T7" s="70"/>
      <c r="U7" s="71"/>
      <c r="V7" s="54"/>
      <c r="W7" s="54"/>
      <c r="X7" s="54"/>
      <c r="Y7" s="54"/>
      <c r="Z7" s="55"/>
      <c r="AA7" s="55"/>
      <c r="AB7" s="55"/>
    </row>
    <row r="8" spans="2:28" ht="24.95" customHeight="1">
      <c r="B8" s="405" t="s">
        <v>83</v>
      </c>
      <c r="C8" s="405"/>
      <c r="D8" s="411" t="s">
        <v>413</v>
      </c>
      <c r="E8" s="411"/>
      <c r="F8" s="411"/>
      <c r="G8" s="411"/>
      <c r="H8" s="411"/>
      <c r="I8" s="411"/>
      <c r="J8" s="411"/>
      <c r="K8" s="68"/>
      <c r="L8" s="412" t="s">
        <v>84</v>
      </c>
      <c r="M8" s="413" t="s">
        <v>85</v>
      </c>
      <c r="N8" s="414"/>
      <c r="O8" s="415" t="s">
        <v>86</v>
      </c>
      <c r="P8" s="415"/>
      <c r="Q8" s="415"/>
      <c r="R8" s="415"/>
      <c r="S8" s="416"/>
      <c r="T8" s="64"/>
      <c r="U8" s="67"/>
      <c r="V8" s="54"/>
      <c r="W8" s="54"/>
      <c r="X8" s="54"/>
      <c r="Y8" s="54"/>
      <c r="Z8" s="55"/>
      <c r="AA8" s="55"/>
      <c r="AB8" s="55"/>
    </row>
    <row r="9" spans="2:28" ht="24.95" customHeight="1">
      <c r="B9" s="405" t="s">
        <v>87</v>
      </c>
      <c r="C9" s="405"/>
      <c r="D9" s="417"/>
      <c r="E9" s="417"/>
      <c r="F9" s="417"/>
      <c r="G9" s="417"/>
      <c r="H9" s="417"/>
      <c r="I9" s="417"/>
      <c r="J9" s="417"/>
      <c r="K9" s="68"/>
      <c r="L9" s="412"/>
      <c r="M9" s="413" t="s">
        <v>88</v>
      </c>
      <c r="N9" s="414"/>
      <c r="O9" s="422" t="str">
        <f>IFERROR((CONCATENATE(G13+K13+P13," dias a partir da data de assinatura do convênio")),"Cálculo automático")</f>
        <v>1440 dias a partir da data de assinatura do convênio</v>
      </c>
      <c r="P9" s="422"/>
      <c r="Q9" s="422"/>
      <c r="R9" s="422"/>
      <c r="S9" s="423"/>
      <c r="T9" s="64"/>
      <c r="U9" s="67"/>
      <c r="V9" s="54"/>
      <c r="W9" s="54"/>
      <c r="X9" s="54"/>
      <c r="Y9" s="54"/>
      <c r="Z9" s="55"/>
      <c r="AA9" s="55"/>
      <c r="AB9" s="55"/>
    </row>
    <row r="10" spans="2:28">
      <c r="B10" s="53"/>
      <c r="C10" s="72"/>
      <c r="D10" s="72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62"/>
      <c r="V10" s="54"/>
      <c r="W10" s="54"/>
      <c r="X10" s="54"/>
      <c r="Y10" s="54"/>
      <c r="Z10" s="55"/>
      <c r="AA10" s="55"/>
      <c r="AB10" s="55"/>
    </row>
    <row r="11" spans="2:28">
      <c r="B11" s="433" t="s">
        <v>89</v>
      </c>
      <c r="C11" s="435" t="s">
        <v>90</v>
      </c>
      <c r="D11" s="436"/>
      <c r="E11" s="433" t="s">
        <v>91</v>
      </c>
      <c r="F11" s="424" t="s">
        <v>92</v>
      </c>
      <c r="G11" s="424"/>
      <c r="H11" s="424"/>
      <c r="I11" s="424"/>
      <c r="J11" s="424" t="s">
        <v>93</v>
      </c>
      <c r="K11" s="424"/>
      <c r="L11" s="424"/>
      <c r="M11" s="424"/>
      <c r="N11" s="425" t="s">
        <v>380</v>
      </c>
      <c r="O11" s="425"/>
      <c r="P11" s="425"/>
      <c r="Q11" s="425"/>
      <c r="R11" s="426"/>
      <c r="S11" s="427" t="s">
        <v>42</v>
      </c>
      <c r="T11" s="53"/>
      <c r="U11" s="73"/>
      <c r="V11" s="54"/>
      <c r="W11" s="54"/>
      <c r="X11" s="54"/>
      <c r="Y11" s="54"/>
      <c r="Z11" s="55"/>
      <c r="AA11" s="55"/>
      <c r="AB11" s="55"/>
    </row>
    <row r="12" spans="2:28" ht="5.45" customHeight="1">
      <c r="B12" s="434"/>
      <c r="C12" s="437"/>
      <c r="D12" s="438"/>
      <c r="E12" s="434"/>
      <c r="F12" s="74"/>
      <c r="G12" s="75"/>
      <c r="H12" s="75"/>
      <c r="I12" s="75"/>
      <c r="J12" s="74"/>
      <c r="K12" s="75"/>
      <c r="L12" s="75"/>
      <c r="M12" s="75"/>
      <c r="N12" s="429"/>
      <c r="O12" s="429"/>
      <c r="P12" s="429"/>
      <c r="Q12" s="429"/>
      <c r="R12" s="430"/>
      <c r="S12" s="428"/>
      <c r="T12" s="53"/>
      <c r="U12" s="54"/>
      <c r="V12" s="54"/>
      <c r="W12" s="54"/>
      <c r="X12" s="54"/>
      <c r="Y12" s="54"/>
      <c r="Z12" s="55"/>
      <c r="AA12" s="55"/>
      <c r="AB12" s="55"/>
    </row>
    <row r="13" spans="2:28" ht="23.25" customHeight="1">
      <c r="B13" s="434"/>
      <c r="C13" s="437"/>
      <c r="D13" s="438"/>
      <c r="E13" s="434"/>
      <c r="F13" s="76" t="s">
        <v>94</v>
      </c>
      <c r="G13" s="77">
        <v>480</v>
      </c>
      <c r="H13" s="201" t="s">
        <v>95</v>
      </c>
      <c r="I13" s="78"/>
      <c r="J13" s="76" t="s">
        <v>94</v>
      </c>
      <c r="K13" s="77">
        <v>480</v>
      </c>
      <c r="L13" s="201" t="s">
        <v>95</v>
      </c>
      <c r="M13" s="78"/>
      <c r="N13" s="418" t="s">
        <v>94</v>
      </c>
      <c r="O13" s="419"/>
      <c r="P13" s="77">
        <v>480</v>
      </c>
      <c r="Q13" s="420" t="s">
        <v>95</v>
      </c>
      <c r="R13" s="421"/>
      <c r="S13" s="428"/>
      <c r="T13" s="53"/>
      <c r="U13" s="54"/>
      <c r="V13" s="54"/>
      <c r="W13" s="54"/>
      <c r="X13" s="54"/>
      <c r="Y13" s="54"/>
      <c r="Z13" s="55"/>
      <c r="AA13" s="55"/>
      <c r="AB13" s="55"/>
    </row>
    <row r="14" spans="2:28" ht="20.100000000000001" customHeight="1">
      <c r="B14" s="434"/>
      <c r="C14" s="437"/>
      <c r="D14" s="438"/>
      <c r="E14" s="434"/>
      <c r="F14" s="439" t="s">
        <v>96</v>
      </c>
      <c r="G14" s="440"/>
      <c r="H14" s="79"/>
      <c r="I14" s="80"/>
      <c r="J14" s="439"/>
      <c r="K14" s="440"/>
      <c r="L14" s="79"/>
      <c r="M14" s="80"/>
      <c r="N14" s="439" t="s">
        <v>97</v>
      </c>
      <c r="O14" s="440"/>
      <c r="P14" s="202"/>
      <c r="Q14" s="81"/>
      <c r="R14" s="82"/>
      <c r="S14" s="428"/>
      <c r="T14" s="53"/>
      <c r="U14" s="83"/>
      <c r="V14" s="54"/>
      <c r="W14" s="54"/>
      <c r="X14" s="54"/>
      <c r="Y14" s="54"/>
      <c r="Z14" s="55"/>
      <c r="AA14" s="55"/>
      <c r="AB14" s="55"/>
    </row>
    <row r="15" spans="2:28" ht="20.100000000000001" customHeight="1">
      <c r="B15" s="434"/>
      <c r="C15" s="437"/>
      <c r="D15" s="438"/>
      <c r="E15" s="434"/>
      <c r="F15" s="439" t="s">
        <v>97</v>
      </c>
      <c r="G15" s="440"/>
      <c r="H15" s="81"/>
      <c r="I15" s="84"/>
      <c r="J15" s="439" t="s">
        <v>97</v>
      </c>
      <c r="K15" s="440"/>
      <c r="L15" s="81"/>
      <c r="M15" s="84"/>
      <c r="N15" s="439" t="s">
        <v>98</v>
      </c>
      <c r="O15" s="440"/>
      <c r="P15" s="440"/>
      <c r="Q15" s="79"/>
      <c r="R15" s="85"/>
      <c r="S15" s="428"/>
      <c r="T15" s="53"/>
      <c r="U15" s="83"/>
      <c r="V15" s="54"/>
      <c r="W15" s="54"/>
      <c r="X15" s="54"/>
      <c r="Y15" s="54"/>
      <c r="Z15" s="55"/>
      <c r="AA15" s="55"/>
      <c r="AB15" s="55"/>
    </row>
    <row r="16" spans="2:28" ht="20.100000000000001" customHeight="1">
      <c r="B16" s="434"/>
      <c r="C16" s="437"/>
      <c r="D16" s="438"/>
      <c r="E16" s="434"/>
      <c r="F16" s="431" t="s">
        <v>98</v>
      </c>
      <c r="G16" s="432"/>
      <c r="H16" s="86"/>
      <c r="I16" s="87"/>
      <c r="J16" s="431" t="s">
        <v>98</v>
      </c>
      <c r="K16" s="432"/>
      <c r="L16" s="86"/>
      <c r="M16" s="87"/>
      <c r="N16" s="431" t="s">
        <v>99</v>
      </c>
      <c r="O16" s="432"/>
      <c r="P16" s="432"/>
      <c r="Q16" s="86"/>
      <c r="R16" s="87"/>
      <c r="S16" s="428"/>
      <c r="T16" s="53"/>
      <c r="U16" s="83"/>
      <c r="V16" s="54"/>
      <c r="W16" s="54"/>
      <c r="X16" s="54"/>
      <c r="Y16" s="54"/>
      <c r="Z16" s="55"/>
      <c r="AA16" s="55"/>
      <c r="AB16" s="55"/>
    </row>
    <row r="17" spans="1:21" ht="24.95" customHeight="1">
      <c r="A17" s="461" t="s">
        <v>31</v>
      </c>
      <c r="B17" s="388" t="s">
        <v>131</v>
      </c>
      <c r="C17" s="390" t="s">
        <v>100</v>
      </c>
      <c r="D17" s="441"/>
      <c r="E17" s="88" t="s">
        <v>101</v>
      </c>
      <c r="F17" s="89"/>
      <c r="G17" s="394">
        <f>IFERROR($F18/S18,0)</f>
        <v>0.29999938991654063</v>
      </c>
      <c r="H17" s="394"/>
      <c r="I17" s="395"/>
      <c r="J17" s="89"/>
      <c r="K17" s="394">
        <f>IFERROR($J18/S18,0)</f>
        <v>0.35000030504172974</v>
      </c>
      <c r="L17" s="394"/>
      <c r="M17" s="395"/>
      <c r="N17" s="90"/>
      <c r="O17" s="91"/>
      <c r="P17" s="396">
        <f>IFERROR($N18/S18,0)</f>
        <v>0.35000030504172974</v>
      </c>
      <c r="Q17" s="396"/>
      <c r="R17" s="397"/>
      <c r="S17" s="92">
        <f>P17+K17+G17</f>
        <v>1</v>
      </c>
    </row>
    <row r="18" spans="1:21" ht="24.95" customHeight="1">
      <c r="A18" s="461"/>
      <c r="B18" s="389"/>
      <c r="C18" s="442"/>
      <c r="D18" s="443"/>
      <c r="E18" s="93" t="s">
        <v>102</v>
      </c>
      <c r="F18" s="398">
        <v>3933.88</v>
      </c>
      <c r="G18" s="399"/>
      <c r="H18" s="399"/>
      <c r="I18" s="399"/>
      <c r="J18" s="398">
        <v>4589.54</v>
      </c>
      <c r="K18" s="399"/>
      <c r="L18" s="399"/>
      <c r="M18" s="399"/>
      <c r="N18" s="398">
        <v>4589.54</v>
      </c>
      <c r="O18" s="399"/>
      <c r="P18" s="399"/>
      <c r="Q18" s="399"/>
      <c r="R18" s="400"/>
      <c r="S18" s="203">
        <f>IFERROR(F18+J18+N18,0)</f>
        <v>13112.96</v>
      </c>
      <c r="T18" s="207"/>
    </row>
    <row r="19" spans="1:21" ht="24.95" customHeight="1">
      <c r="A19" s="461"/>
      <c r="B19" s="388" t="s">
        <v>119</v>
      </c>
      <c r="C19" s="390" t="s">
        <v>140</v>
      </c>
      <c r="D19" s="391"/>
      <c r="E19" s="88" t="s">
        <v>101</v>
      </c>
      <c r="F19" s="89"/>
      <c r="G19" s="394">
        <f>IFERROR($F20/S20,0)</f>
        <v>0.29999997160306652</v>
      </c>
      <c r="H19" s="394"/>
      <c r="I19" s="395"/>
      <c r="J19" s="89"/>
      <c r="K19" s="394">
        <f>IFERROR($J20/S20,0)</f>
        <v>0.35000001419846671</v>
      </c>
      <c r="L19" s="394"/>
      <c r="M19" s="395"/>
      <c r="N19" s="90"/>
      <c r="O19" s="91"/>
      <c r="P19" s="396">
        <f>IFERROR($N20/S20,0)</f>
        <v>0.35000001419846671</v>
      </c>
      <c r="Q19" s="396"/>
      <c r="R19" s="397"/>
      <c r="S19" s="92">
        <f>P19+K19+G19</f>
        <v>1</v>
      </c>
      <c r="T19" s="207"/>
    </row>
    <row r="20" spans="1:21" ht="24.95" customHeight="1">
      <c r="A20" s="461"/>
      <c r="B20" s="389"/>
      <c r="C20" s="392"/>
      <c r="D20" s="393"/>
      <c r="E20" s="93" t="s">
        <v>102</v>
      </c>
      <c r="F20" s="398">
        <v>42258.080000000002</v>
      </c>
      <c r="G20" s="399"/>
      <c r="H20" s="399"/>
      <c r="I20" s="399"/>
      <c r="J20" s="398">
        <v>49301.1</v>
      </c>
      <c r="K20" s="399"/>
      <c r="L20" s="399"/>
      <c r="M20" s="399"/>
      <c r="N20" s="398">
        <v>49301.1</v>
      </c>
      <c r="O20" s="399"/>
      <c r="P20" s="399"/>
      <c r="Q20" s="399"/>
      <c r="R20" s="400"/>
      <c r="S20" s="203">
        <f>IFERROR(F20+J20+N20,0)</f>
        <v>140860.28</v>
      </c>
      <c r="T20" s="207"/>
      <c r="U20" s="204"/>
    </row>
    <row r="21" spans="1:21" ht="24.95" customHeight="1">
      <c r="A21" s="461"/>
      <c r="B21" s="388" t="s">
        <v>120</v>
      </c>
      <c r="C21" s="390" t="s">
        <v>132</v>
      </c>
      <c r="D21" s="391"/>
      <c r="E21" s="88" t="s">
        <v>101</v>
      </c>
      <c r="F21" s="89"/>
      <c r="G21" s="394">
        <f>IFERROR($F22/S22,0)</f>
        <v>0.29999992164857658</v>
      </c>
      <c r="H21" s="394"/>
      <c r="I21" s="395"/>
      <c r="J21" s="89"/>
      <c r="K21" s="394">
        <f>IFERROR($J22/S22,0)</f>
        <v>0.35000003917571165</v>
      </c>
      <c r="L21" s="394"/>
      <c r="M21" s="395"/>
      <c r="N21" s="90"/>
      <c r="O21" s="91"/>
      <c r="P21" s="396">
        <f>IFERROR($N22/S22,0)</f>
        <v>0.35000003917571165</v>
      </c>
      <c r="Q21" s="396"/>
      <c r="R21" s="397"/>
      <c r="S21" s="92">
        <f>P21+K21+G21</f>
        <v>0.99999999999999989</v>
      </c>
      <c r="T21" s="207"/>
    </row>
    <row r="22" spans="1:21" ht="24.95" customHeight="1">
      <c r="A22" s="461"/>
      <c r="B22" s="389"/>
      <c r="C22" s="392"/>
      <c r="D22" s="393"/>
      <c r="E22" s="93" t="s">
        <v>102</v>
      </c>
      <c r="F22" s="398">
        <v>19144.509999999998</v>
      </c>
      <c r="G22" s="399"/>
      <c r="H22" s="399"/>
      <c r="I22" s="399"/>
      <c r="J22" s="398">
        <v>22335.27</v>
      </c>
      <c r="K22" s="399"/>
      <c r="L22" s="399"/>
      <c r="M22" s="399"/>
      <c r="N22" s="398">
        <v>22335.27</v>
      </c>
      <c r="O22" s="399"/>
      <c r="P22" s="399"/>
      <c r="Q22" s="399"/>
      <c r="R22" s="400"/>
      <c r="S22" s="203">
        <f>IFERROR(F22+J22+N22,0)</f>
        <v>63815.05</v>
      </c>
    </row>
    <row r="23" spans="1:21" ht="24.95" customHeight="1">
      <c r="A23" s="461"/>
      <c r="B23" s="388" t="s">
        <v>121</v>
      </c>
      <c r="C23" s="390" t="s">
        <v>57</v>
      </c>
      <c r="D23" s="391"/>
      <c r="E23" s="88" t="s">
        <v>101</v>
      </c>
      <c r="F23" s="89"/>
      <c r="G23" s="394">
        <f>IFERROR($F24/S24,0)</f>
        <v>0.30000171676313558</v>
      </c>
      <c r="H23" s="394"/>
      <c r="I23" s="395"/>
      <c r="J23" s="89"/>
      <c r="K23" s="394">
        <f>IFERROR($J24/S24,0)</f>
        <v>0.34999914161843226</v>
      </c>
      <c r="L23" s="394"/>
      <c r="M23" s="395"/>
      <c r="N23" s="90"/>
      <c r="O23" s="91"/>
      <c r="P23" s="396">
        <f>IFERROR($N24/S24,0)</f>
        <v>0.34999914161843226</v>
      </c>
      <c r="Q23" s="396"/>
      <c r="R23" s="397"/>
      <c r="S23" s="92">
        <f>P23+K23+G23</f>
        <v>1</v>
      </c>
    </row>
    <row r="24" spans="1:21" ht="24.95" customHeight="1">
      <c r="A24" s="461"/>
      <c r="B24" s="389"/>
      <c r="C24" s="392"/>
      <c r="D24" s="393"/>
      <c r="E24" s="93" t="s">
        <v>102</v>
      </c>
      <c r="F24" s="398">
        <v>2271.73</v>
      </c>
      <c r="G24" s="399"/>
      <c r="H24" s="399"/>
      <c r="I24" s="399"/>
      <c r="J24" s="398">
        <v>2650.33</v>
      </c>
      <c r="K24" s="399"/>
      <c r="L24" s="399"/>
      <c r="M24" s="399"/>
      <c r="N24" s="398">
        <v>2650.33</v>
      </c>
      <c r="O24" s="399"/>
      <c r="P24" s="399"/>
      <c r="Q24" s="399"/>
      <c r="R24" s="400"/>
      <c r="S24" s="203">
        <f>IFERROR(F24+J24+N24,0)</f>
        <v>7572.3899999999994</v>
      </c>
    </row>
    <row r="25" spans="1:21" ht="24.95" customHeight="1">
      <c r="A25" s="385" t="s">
        <v>46</v>
      </c>
      <c r="B25" s="388" t="s">
        <v>131</v>
      </c>
      <c r="C25" s="390" t="s">
        <v>71</v>
      </c>
      <c r="D25" s="391"/>
      <c r="E25" s="88" t="s">
        <v>101</v>
      </c>
      <c r="F25" s="89"/>
      <c r="G25" s="394">
        <f>IFERROR($F26/S26,0)</f>
        <v>0.29999999428162744</v>
      </c>
      <c r="H25" s="394"/>
      <c r="I25" s="395"/>
      <c r="J25" s="89"/>
      <c r="K25" s="394">
        <f>IFERROR($J26/S26,0)</f>
        <v>0.35000000285918625</v>
      </c>
      <c r="L25" s="394"/>
      <c r="M25" s="395"/>
      <c r="N25" s="90"/>
      <c r="O25" s="91"/>
      <c r="P25" s="396">
        <f>IFERROR($N26/S26,0)</f>
        <v>0.35000000285918625</v>
      </c>
      <c r="Q25" s="396"/>
      <c r="R25" s="397"/>
      <c r="S25" s="92">
        <f>P25+K25+G25</f>
        <v>1</v>
      </c>
      <c r="T25" s="207"/>
    </row>
    <row r="26" spans="1:21" ht="24.95" customHeight="1">
      <c r="A26" s="386"/>
      <c r="B26" s="389"/>
      <c r="C26" s="392"/>
      <c r="D26" s="393"/>
      <c r="E26" s="93" t="s">
        <v>102</v>
      </c>
      <c r="F26" s="398">
        <v>262312.39</v>
      </c>
      <c r="G26" s="399"/>
      <c r="H26" s="399"/>
      <c r="I26" s="399"/>
      <c r="J26" s="398">
        <v>306031.13</v>
      </c>
      <c r="K26" s="399"/>
      <c r="L26" s="399"/>
      <c r="M26" s="399"/>
      <c r="N26" s="398">
        <v>306031.13</v>
      </c>
      <c r="O26" s="399"/>
      <c r="P26" s="399"/>
      <c r="Q26" s="399"/>
      <c r="R26" s="400"/>
      <c r="S26" s="203">
        <f>IFERROR(F26+J26+N26,0)</f>
        <v>874374.65</v>
      </c>
      <c r="T26" s="207"/>
    </row>
    <row r="27" spans="1:21" ht="24.95" customHeight="1">
      <c r="A27" s="386"/>
      <c r="B27" s="388" t="s">
        <v>119</v>
      </c>
      <c r="C27" s="390" t="s">
        <v>792</v>
      </c>
      <c r="D27" s="391"/>
      <c r="E27" s="88" t="s">
        <v>101</v>
      </c>
      <c r="F27" s="89"/>
      <c r="G27" s="394">
        <f>IFERROR($F28/S28,0)</f>
        <v>0.29999961149508353</v>
      </c>
      <c r="H27" s="394"/>
      <c r="I27" s="395"/>
      <c r="J27" s="89"/>
      <c r="K27" s="394">
        <f>IFERROR($J28/S28,0)</f>
        <v>0.35000019425245826</v>
      </c>
      <c r="L27" s="394"/>
      <c r="M27" s="395"/>
      <c r="N27" s="90"/>
      <c r="O27" s="91"/>
      <c r="P27" s="396">
        <f>IFERROR($N28/S28,0)</f>
        <v>0.35000019425245826</v>
      </c>
      <c r="Q27" s="396"/>
      <c r="R27" s="397"/>
      <c r="S27" s="92">
        <f>P27+K27+G27</f>
        <v>1</v>
      </c>
      <c r="T27" s="207"/>
    </row>
    <row r="28" spans="1:21" ht="24.95" customHeight="1">
      <c r="A28" s="387"/>
      <c r="B28" s="389"/>
      <c r="C28" s="392"/>
      <c r="D28" s="393"/>
      <c r="E28" s="93" t="s">
        <v>102</v>
      </c>
      <c r="F28" s="398">
        <v>6177.52</v>
      </c>
      <c r="G28" s="399"/>
      <c r="H28" s="399"/>
      <c r="I28" s="399"/>
      <c r="J28" s="398">
        <v>7207.12</v>
      </c>
      <c r="K28" s="399"/>
      <c r="L28" s="399"/>
      <c r="M28" s="399"/>
      <c r="N28" s="398">
        <v>7207.12</v>
      </c>
      <c r="O28" s="399"/>
      <c r="P28" s="399"/>
      <c r="Q28" s="399"/>
      <c r="R28" s="400"/>
      <c r="S28" s="203">
        <f>IFERROR(F28+J28+N28,0)</f>
        <v>20591.759999999998</v>
      </c>
      <c r="T28" s="207"/>
    </row>
    <row r="29" spans="1:21" ht="24.95" customHeight="1">
      <c r="A29" s="385" t="s">
        <v>173</v>
      </c>
      <c r="B29" s="388" t="s">
        <v>131</v>
      </c>
      <c r="C29" s="390" t="s">
        <v>153</v>
      </c>
      <c r="D29" s="391"/>
      <c r="E29" s="88" t="s">
        <v>101</v>
      </c>
      <c r="F29" s="89"/>
      <c r="G29" s="394">
        <f>IFERROR($F30/S30,0)</f>
        <v>0.29999957520379605</v>
      </c>
      <c r="H29" s="394"/>
      <c r="I29" s="395"/>
      <c r="J29" s="89"/>
      <c r="K29" s="394">
        <f>IFERROR($J30/S30,0)</f>
        <v>0.35000021239810203</v>
      </c>
      <c r="L29" s="394"/>
      <c r="M29" s="395"/>
      <c r="N29" s="90"/>
      <c r="O29" s="91"/>
      <c r="P29" s="396">
        <f>IFERROR($N30/S30,0)</f>
        <v>0.35000021239810203</v>
      </c>
      <c r="Q29" s="396"/>
      <c r="R29" s="397"/>
      <c r="S29" s="92">
        <f>P29+K29+G29</f>
        <v>1</v>
      </c>
      <c r="T29" s="207"/>
    </row>
    <row r="30" spans="1:21" ht="24.95" customHeight="1">
      <c r="A30" s="386"/>
      <c r="B30" s="389"/>
      <c r="C30" s="392"/>
      <c r="D30" s="393"/>
      <c r="E30" s="93" t="s">
        <v>102</v>
      </c>
      <c r="F30" s="398">
        <v>2824.88</v>
      </c>
      <c r="G30" s="399"/>
      <c r="H30" s="399"/>
      <c r="I30" s="399"/>
      <c r="J30" s="398">
        <v>3295.7</v>
      </c>
      <c r="K30" s="399"/>
      <c r="L30" s="399"/>
      <c r="M30" s="399"/>
      <c r="N30" s="398">
        <v>3295.7</v>
      </c>
      <c r="O30" s="399"/>
      <c r="P30" s="399"/>
      <c r="Q30" s="399"/>
      <c r="R30" s="400"/>
      <c r="S30" s="203">
        <f>IFERROR(F30+J30+N30,0)</f>
        <v>9416.2799999999988</v>
      </c>
      <c r="T30" s="207"/>
    </row>
    <row r="31" spans="1:21" ht="24.95" customHeight="1">
      <c r="A31" s="386"/>
      <c r="B31" s="388" t="s">
        <v>119</v>
      </c>
      <c r="C31" s="390" t="s">
        <v>383</v>
      </c>
      <c r="D31" s="391"/>
      <c r="E31" s="88" t="s">
        <v>101</v>
      </c>
      <c r="F31" s="89"/>
      <c r="G31" s="394">
        <f>IFERROR($F32/S32,0)</f>
        <v>0.30000062728829546</v>
      </c>
      <c r="H31" s="394"/>
      <c r="I31" s="395"/>
      <c r="J31" s="89"/>
      <c r="K31" s="394">
        <f>IFERROR($J32/S32,0)</f>
        <v>0.34999968635585227</v>
      </c>
      <c r="L31" s="394"/>
      <c r="M31" s="395"/>
      <c r="N31" s="90"/>
      <c r="O31" s="91"/>
      <c r="P31" s="396">
        <f>IFERROR($N32/S32,0)</f>
        <v>0.34999968635585227</v>
      </c>
      <c r="Q31" s="396"/>
      <c r="R31" s="397"/>
      <c r="S31" s="92">
        <f>P31+K31+G31</f>
        <v>1</v>
      </c>
    </row>
    <row r="32" spans="1:21" ht="24.95" customHeight="1">
      <c r="A32" s="386"/>
      <c r="B32" s="389"/>
      <c r="C32" s="392"/>
      <c r="D32" s="393"/>
      <c r="E32" s="93" t="s">
        <v>102</v>
      </c>
      <c r="F32" s="398">
        <v>2869.5</v>
      </c>
      <c r="G32" s="399"/>
      <c r="H32" s="399"/>
      <c r="I32" s="399"/>
      <c r="J32" s="398">
        <v>3347.74</v>
      </c>
      <c r="K32" s="399"/>
      <c r="L32" s="399"/>
      <c r="M32" s="399"/>
      <c r="N32" s="398">
        <v>3347.74</v>
      </c>
      <c r="O32" s="399"/>
      <c r="P32" s="399"/>
      <c r="Q32" s="399"/>
      <c r="R32" s="400"/>
      <c r="S32" s="203">
        <f>IFERROR(F32+J32+N32,0)</f>
        <v>9564.98</v>
      </c>
      <c r="T32" s="207"/>
    </row>
    <row r="33" spans="1:20" ht="24.95" customHeight="1">
      <c r="A33" s="386"/>
      <c r="B33" s="388" t="s">
        <v>120</v>
      </c>
      <c r="C33" s="390" t="s">
        <v>225</v>
      </c>
      <c r="D33" s="391"/>
      <c r="E33" s="88" t="s">
        <v>101</v>
      </c>
      <c r="F33" s="89"/>
      <c r="G33" s="394">
        <f>IFERROR($F34/S34,0)</f>
        <v>0.30000000000000004</v>
      </c>
      <c r="H33" s="394"/>
      <c r="I33" s="395"/>
      <c r="J33" s="89"/>
      <c r="K33" s="394">
        <f>IFERROR($J34/S34,0)</f>
        <v>0.35</v>
      </c>
      <c r="L33" s="394"/>
      <c r="M33" s="395"/>
      <c r="N33" s="90"/>
      <c r="O33" s="91"/>
      <c r="P33" s="396">
        <f>IFERROR($N34/S34,0)</f>
        <v>0.35</v>
      </c>
      <c r="Q33" s="396"/>
      <c r="R33" s="397"/>
      <c r="S33" s="92">
        <f>P33+K33+G33</f>
        <v>1</v>
      </c>
    </row>
    <row r="34" spans="1:20" ht="24.95" customHeight="1">
      <c r="A34" s="386"/>
      <c r="B34" s="389"/>
      <c r="C34" s="392"/>
      <c r="D34" s="393"/>
      <c r="E34" s="93" t="s">
        <v>102</v>
      </c>
      <c r="F34" s="398">
        <v>1305.96</v>
      </c>
      <c r="G34" s="399"/>
      <c r="H34" s="399"/>
      <c r="I34" s="399"/>
      <c r="J34" s="398">
        <v>1523.62</v>
      </c>
      <c r="K34" s="399"/>
      <c r="L34" s="399"/>
      <c r="M34" s="399"/>
      <c r="N34" s="398">
        <v>1523.62</v>
      </c>
      <c r="O34" s="399"/>
      <c r="P34" s="399"/>
      <c r="Q34" s="399"/>
      <c r="R34" s="400"/>
      <c r="S34" s="203">
        <f>IFERROR(F34+J34+N34,0)</f>
        <v>4353.2</v>
      </c>
      <c r="T34" s="207"/>
    </row>
    <row r="35" spans="1:20" ht="24.95" customHeight="1">
      <c r="A35" s="386"/>
      <c r="B35" s="388" t="s">
        <v>121</v>
      </c>
      <c r="C35" s="390" t="s">
        <v>57</v>
      </c>
      <c r="D35" s="391"/>
      <c r="E35" s="88" t="s">
        <v>101</v>
      </c>
      <c r="F35" s="89"/>
      <c r="G35" s="394">
        <f>IFERROR($F36/S36,0)</f>
        <v>0.29999916662847048</v>
      </c>
      <c r="H35" s="394"/>
      <c r="I35" s="395"/>
      <c r="J35" s="89"/>
      <c r="K35" s="394">
        <f>IFERROR($J36/S36,0)</f>
        <v>0.35000041668576476</v>
      </c>
      <c r="L35" s="394"/>
      <c r="M35" s="395"/>
      <c r="N35" s="90"/>
      <c r="O35" s="91"/>
      <c r="P35" s="396">
        <f>IFERROR($N36/S36,0)</f>
        <v>0.35000041668576476</v>
      </c>
      <c r="Q35" s="396"/>
      <c r="R35" s="397"/>
      <c r="S35" s="92">
        <f>P35+K35+G35</f>
        <v>1</v>
      </c>
    </row>
    <row r="36" spans="1:20" ht="24.95" customHeight="1">
      <c r="A36" s="386"/>
      <c r="B36" s="389"/>
      <c r="C36" s="392"/>
      <c r="D36" s="393"/>
      <c r="E36" s="93" t="s">
        <v>102</v>
      </c>
      <c r="F36" s="398">
        <v>2879.86</v>
      </c>
      <c r="G36" s="399"/>
      <c r="H36" s="399"/>
      <c r="I36" s="399"/>
      <c r="J36" s="398">
        <v>3359.85</v>
      </c>
      <c r="K36" s="399"/>
      <c r="L36" s="399"/>
      <c r="M36" s="399"/>
      <c r="N36" s="398">
        <v>3359.85</v>
      </c>
      <c r="O36" s="399"/>
      <c r="P36" s="399"/>
      <c r="Q36" s="399"/>
      <c r="R36" s="400"/>
      <c r="S36" s="203">
        <f>IFERROR(F36+J36+N36,0)</f>
        <v>9599.56</v>
      </c>
      <c r="T36" s="207"/>
    </row>
    <row r="37" spans="1:20" ht="24.95" customHeight="1">
      <c r="A37" s="386"/>
      <c r="B37" s="388" t="s">
        <v>265</v>
      </c>
      <c r="C37" s="390" t="s">
        <v>384</v>
      </c>
      <c r="D37" s="391"/>
      <c r="E37" s="88" t="s">
        <v>101</v>
      </c>
      <c r="F37" s="89"/>
      <c r="G37" s="394">
        <f>IFERROR($F38/S38,0)</f>
        <v>0.29999239370198522</v>
      </c>
      <c r="H37" s="394"/>
      <c r="I37" s="395"/>
      <c r="J37" s="89"/>
      <c r="K37" s="394">
        <f>IFERROR($J38/S38,0)</f>
        <v>0.35000380314900736</v>
      </c>
      <c r="L37" s="394"/>
      <c r="M37" s="395"/>
      <c r="N37" s="90"/>
      <c r="O37" s="91"/>
      <c r="P37" s="396">
        <f>IFERROR($N38/S38,0)</f>
        <v>0.35000380314900736</v>
      </c>
      <c r="Q37" s="396"/>
      <c r="R37" s="397"/>
      <c r="S37" s="92">
        <f>P37+K37+G37</f>
        <v>1</v>
      </c>
    </row>
    <row r="38" spans="1:20" ht="24.95" customHeight="1">
      <c r="A38" s="387"/>
      <c r="B38" s="389"/>
      <c r="C38" s="392"/>
      <c r="D38" s="393"/>
      <c r="E38" s="93" t="s">
        <v>102</v>
      </c>
      <c r="F38" s="398">
        <v>315.52</v>
      </c>
      <c r="G38" s="399"/>
      <c r="H38" s="399"/>
      <c r="I38" s="399"/>
      <c r="J38" s="398">
        <v>368.12</v>
      </c>
      <c r="K38" s="399"/>
      <c r="L38" s="399"/>
      <c r="M38" s="399"/>
      <c r="N38" s="398">
        <v>368.12</v>
      </c>
      <c r="O38" s="399"/>
      <c r="P38" s="399"/>
      <c r="Q38" s="399"/>
      <c r="R38" s="400"/>
      <c r="S38" s="203">
        <f>IFERROR(F38+J38+N38,0)</f>
        <v>1051.76</v>
      </c>
      <c r="T38" s="207"/>
    </row>
    <row r="39" spans="1:20" ht="24.95" customHeight="1">
      <c r="A39" s="265" t="s">
        <v>422</v>
      </c>
      <c r="B39" s="388" t="s">
        <v>131</v>
      </c>
      <c r="C39" s="390" t="s">
        <v>636</v>
      </c>
      <c r="D39" s="391"/>
      <c r="E39" s="88" t="s">
        <v>101</v>
      </c>
      <c r="F39" s="89"/>
      <c r="G39" s="394">
        <f>IFERROR($F40/S40,0)</f>
        <v>0.30000002642290308</v>
      </c>
      <c r="H39" s="394"/>
      <c r="I39" s="395"/>
      <c r="J39" s="89"/>
      <c r="K39" s="394">
        <f>IFERROR($J40/S40,0)</f>
        <v>0.34999998678854843</v>
      </c>
      <c r="L39" s="394"/>
      <c r="M39" s="395"/>
      <c r="N39" s="90"/>
      <c r="O39" s="91"/>
      <c r="P39" s="396">
        <f>IFERROR($N40/S40,0)</f>
        <v>0.34999998678854843</v>
      </c>
      <c r="Q39" s="396"/>
      <c r="R39" s="397"/>
      <c r="S39" s="92">
        <f>P39+K39+G39</f>
        <v>1</v>
      </c>
    </row>
    <row r="40" spans="1:20" ht="24.95" customHeight="1">
      <c r="A40" s="266"/>
      <c r="B40" s="389"/>
      <c r="C40" s="392"/>
      <c r="D40" s="393"/>
      <c r="E40" s="93" t="s">
        <v>102</v>
      </c>
      <c r="F40" s="398">
        <v>90830.3</v>
      </c>
      <c r="G40" s="399"/>
      <c r="H40" s="399"/>
      <c r="I40" s="399"/>
      <c r="J40" s="398">
        <v>105968.67</v>
      </c>
      <c r="K40" s="399"/>
      <c r="L40" s="399"/>
      <c r="M40" s="399"/>
      <c r="N40" s="398">
        <v>105968.67</v>
      </c>
      <c r="O40" s="399"/>
      <c r="P40" s="399"/>
      <c r="Q40" s="399"/>
      <c r="R40" s="400"/>
      <c r="S40" s="203">
        <f>IFERROR(F40+J40+N40,0)</f>
        <v>302767.64</v>
      </c>
      <c r="T40" s="207"/>
    </row>
    <row r="41" spans="1:20" ht="24.95" customHeight="1">
      <c r="A41" s="266"/>
      <c r="B41" s="388" t="s">
        <v>119</v>
      </c>
      <c r="C41" s="390" t="s">
        <v>781</v>
      </c>
      <c r="D41" s="391"/>
      <c r="E41" s="88" t="s">
        <v>101</v>
      </c>
      <c r="F41" s="89"/>
      <c r="G41" s="394">
        <f>IFERROR($F42/S42,0)</f>
        <v>0.29999993682682402</v>
      </c>
      <c r="H41" s="394"/>
      <c r="I41" s="395"/>
      <c r="J41" s="89"/>
      <c r="K41" s="394">
        <f>IFERROR($J42/S42,0)</f>
        <v>0.35000003158658805</v>
      </c>
      <c r="L41" s="394"/>
      <c r="M41" s="395"/>
      <c r="N41" s="90"/>
      <c r="O41" s="91"/>
      <c r="P41" s="396">
        <f>IFERROR($N42/S42,0)</f>
        <v>0.35000003158658805</v>
      </c>
      <c r="Q41" s="396"/>
      <c r="R41" s="397"/>
      <c r="S41" s="92">
        <f>P41+K41+G41</f>
        <v>1</v>
      </c>
    </row>
    <row r="42" spans="1:20" ht="24.95" customHeight="1">
      <c r="A42" s="267"/>
      <c r="B42" s="389"/>
      <c r="C42" s="392"/>
      <c r="D42" s="393"/>
      <c r="E42" s="93" t="s">
        <v>102</v>
      </c>
      <c r="F42" s="398">
        <v>14246.55</v>
      </c>
      <c r="G42" s="399"/>
      <c r="H42" s="399"/>
      <c r="I42" s="399"/>
      <c r="J42" s="398">
        <v>16620.98</v>
      </c>
      <c r="K42" s="399"/>
      <c r="L42" s="399"/>
      <c r="M42" s="399"/>
      <c r="N42" s="398">
        <v>16620.98</v>
      </c>
      <c r="O42" s="399"/>
      <c r="P42" s="399"/>
      <c r="Q42" s="399"/>
      <c r="R42" s="400"/>
      <c r="S42" s="203">
        <f>IFERROR(F42+J42+N42,0)</f>
        <v>47488.509999999995</v>
      </c>
      <c r="T42" s="207"/>
    </row>
    <row r="43" spans="1:20" ht="24.95" customHeight="1">
      <c r="A43" s="385" t="s">
        <v>423</v>
      </c>
      <c r="B43" s="388" t="s">
        <v>131</v>
      </c>
      <c r="C43" s="390" t="s">
        <v>100</v>
      </c>
      <c r="D43" s="391"/>
      <c r="E43" s="88" t="s">
        <v>101</v>
      </c>
      <c r="F43" s="89"/>
      <c r="G43" s="394">
        <f>IFERROR($F44/S44,0)</f>
        <v>0.30000093114700016</v>
      </c>
      <c r="H43" s="394"/>
      <c r="I43" s="395"/>
      <c r="J43" s="89"/>
      <c r="K43" s="394">
        <f>IFERROR($J44/S44,0)</f>
        <v>0.34999953442649989</v>
      </c>
      <c r="L43" s="394"/>
      <c r="M43" s="395"/>
      <c r="N43" s="90"/>
      <c r="O43" s="91"/>
      <c r="P43" s="396">
        <f>IFERROR($N44/S44,0)</f>
        <v>0.34999953442649989</v>
      </c>
      <c r="Q43" s="396"/>
      <c r="R43" s="397"/>
      <c r="S43" s="92">
        <f>P43+K43+G43</f>
        <v>1</v>
      </c>
    </row>
    <row r="44" spans="1:20" ht="24.95" customHeight="1">
      <c r="A44" s="386"/>
      <c r="B44" s="389"/>
      <c r="C44" s="392"/>
      <c r="D44" s="393"/>
      <c r="E44" s="93" t="s">
        <v>102</v>
      </c>
      <c r="F44" s="398">
        <v>2255.29</v>
      </c>
      <c r="G44" s="399"/>
      <c r="H44" s="399"/>
      <c r="I44" s="399"/>
      <c r="J44" s="398">
        <v>2631.16</v>
      </c>
      <c r="K44" s="399"/>
      <c r="L44" s="399"/>
      <c r="M44" s="399"/>
      <c r="N44" s="398">
        <v>2631.16</v>
      </c>
      <c r="O44" s="399"/>
      <c r="P44" s="399"/>
      <c r="Q44" s="399"/>
      <c r="R44" s="400"/>
      <c r="S44" s="203">
        <f>IFERROR(F44+J44+N44,0)</f>
        <v>7517.61</v>
      </c>
      <c r="T44" s="207"/>
    </row>
    <row r="45" spans="1:20" ht="24.95" customHeight="1">
      <c r="A45" s="386"/>
      <c r="B45" s="388" t="s">
        <v>119</v>
      </c>
      <c r="C45" s="390" t="s">
        <v>424</v>
      </c>
      <c r="D45" s="391"/>
      <c r="E45" s="88" t="s">
        <v>101</v>
      </c>
      <c r="F45" s="89"/>
      <c r="G45" s="394">
        <f>IFERROR($F46/S46,0)</f>
        <v>0.29999981594764569</v>
      </c>
      <c r="H45" s="394"/>
      <c r="I45" s="395"/>
      <c r="J45" s="89"/>
      <c r="K45" s="394">
        <f>IFERROR($J46/S46,0)</f>
        <v>0.35000009202617716</v>
      </c>
      <c r="L45" s="394"/>
      <c r="M45" s="395"/>
      <c r="N45" s="90"/>
      <c r="O45" s="91"/>
      <c r="P45" s="396">
        <f>IFERROR($N46/S46,0)</f>
        <v>0.35000009202617716</v>
      </c>
      <c r="Q45" s="396"/>
      <c r="R45" s="397"/>
      <c r="S45" s="92">
        <f>P45+K45+G45</f>
        <v>1</v>
      </c>
    </row>
    <row r="46" spans="1:20" ht="24.95" customHeight="1">
      <c r="A46" s="386"/>
      <c r="B46" s="389"/>
      <c r="C46" s="392"/>
      <c r="D46" s="393"/>
      <c r="E46" s="93" t="s">
        <v>102</v>
      </c>
      <c r="F46" s="398">
        <v>4889.91</v>
      </c>
      <c r="G46" s="399"/>
      <c r="H46" s="399"/>
      <c r="I46" s="399"/>
      <c r="J46" s="398">
        <v>5704.9</v>
      </c>
      <c r="K46" s="399"/>
      <c r="L46" s="399"/>
      <c r="M46" s="399"/>
      <c r="N46" s="398">
        <v>5704.9</v>
      </c>
      <c r="O46" s="399"/>
      <c r="P46" s="399"/>
      <c r="Q46" s="399"/>
      <c r="R46" s="400"/>
      <c r="S46" s="203">
        <f>IFERROR(F46+J46+N46,0)</f>
        <v>16299.71</v>
      </c>
      <c r="T46" s="207"/>
    </row>
    <row r="47" spans="1:20" ht="24.95" customHeight="1">
      <c r="A47" s="386"/>
      <c r="B47" s="388" t="s">
        <v>120</v>
      </c>
      <c r="C47" s="390" t="s">
        <v>442</v>
      </c>
      <c r="D47" s="391"/>
      <c r="E47" s="88" t="s">
        <v>101</v>
      </c>
      <c r="F47" s="89"/>
      <c r="G47" s="394">
        <f>IFERROR($F48/S48,0)</f>
        <v>0.29999994862777069</v>
      </c>
      <c r="H47" s="394"/>
      <c r="I47" s="395"/>
      <c r="J47" s="89"/>
      <c r="K47" s="394">
        <f>IFERROR($J48/S48,0)</f>
        <v>0.35000002568611466</v>
      </c>
      <c r="L47" s="394"/>
      <c r="M47" s="395"/>
      <c r="N47" s="90"/>
      <c r="O47" s="91"/>
      <c r="P47" s="396">
        <f>IFERROR($N48/S48,0)</f>
        <v>0.35000002568611466</v>
      </c>
      <c r="Q47" s="396"/>
      <c r="R47" s="397"/>
      <c r="S47" s="92">
        <f>P47+K47+G47</f>
        <v>1</v>
      </c>
      <c r="T47" s="207"/>
    </row>
    <row r="48" spans="1:20" ht="24.95" customHeight="1">
      <c r="A48" s="386"/>
      <c r="B48" s="389"/>
      <c r="C48" s="392"/>
      <c r="D48" s="393"/>
      <c r="E48" s="93" t="s">
        <v>102</v>
      </c>
      <c r="F48" s="398">
        <v>11679.46</v>
      </c>
      <c r="G48" s="399"/>
      <c r="H48" s="399"/>
      <c r="I48" s="399"/>
      <c r="J48" s="398">
        <v>13626.04</v>
      </c>
      <c r="K48" s="399"/>
      <c r="L48" s="399"/>
      <c r="M48" s="399"/>
      <c r="N48" s="398">
        <v>13626.04</v>
      </c>
      <c r="O48" s="399"/>
      <c r="P48" s="399"/>
      <c r="Q48" s="399"/>
      <c r="R48" s="400"/>
      <c r="S48" s="203">
        <f>IFERROR(F48+J48+N48,0)</f>
        <v>38931.54</v>
      </c>
      <c r="T48" s="207"/>
    </row>
    <row r="49" spans="1:20" ht="24.95" customHeight="1">
      <c r="A49" s="386"/>
      <c r="B49" s="388" t="s">
        <v>121</v>
      </c>
      <c r="C49" s="390" t="s">
        <v>459</v>
      </c>
      <c r="D49" s="391"/>
      <c r="E49" s="88" t="s">
        <v>101</v>
      </c>
      <c r="F49" s="89"/>
      <c r="G49" s="394">
        <f>IFERROR($F50/S50,0)</f>
        <v>0.29999993057517771</v>
      </c>
      <c r="H49" s="394"/>
      <c r="I49" s="395"/>
      <c r="J49" s="89"/>
      <c r="K49" s="394">
        <f>IFERROR($J50/S50,0)</f>
        <v>0.35000003471241115</v>
      </c>
      <c r="L49" s="394"/>
      <c r="M49" s="395"/>
      <c r="N49" s="90"/>
      <c r="O49" s="91"/>
      <c r="P49" s="396">
        <f>IFERROR($N50/S50,0)</f>
        <v>0.35000003471241115</v>
      </c>
      <c r="Q49" s="396"/>
      <c r="R49" s="397"/>
      <c r="S49" s="92">
        <f>P49+K49+G49</f>
        <v>1</v>
      </c>
      <c r="T49" s="207"/>
    </row>
    <row r="50" spans="1:20" ht="24.95" customHeight="1">
      <c r="A50" s="386"/>
      <c r="B50" s="389"/>
      <c r="C50" s="392"/>
      <c r="D50" s="393"/>
      <c r="E50" s="93" t="s">
        <v>102</v>
      </c>
      <c r="F50" s="398">
        <v>8642.44</v>
      </c>
      <c r="G50" s="399"/>
      <c r="H50" s="399"/>
      <c r="I50" s="399"/>
      <c r="J50" s="398">
        <v>10082.85</v>
      </c>
      <c r="K50" s="399"/>
      <c r="L50" s="399"/>
      <c r="M50" s="399"/>
      <c r="N50" s="398">
        <v>10082.85</v>
      </c>
      <c r="O50" s="399"/>
      <c r="P50" s="399"/>
      <c r="Q50" s="399"/>
      <c r="R50" s="400"/>
      <c r="S50" s="203">
        <f>IFERROR(F50+J50+N50,0)</f>
        <v>28808.14</v>
      </c>
      <c r="T50" s="207"/>
    </row>
    <row r="51" spans="1:20" ht="24.95" customHeight="1">
      <c r="A51" s="386"/>
      <c r="B51" s="388" t="s">
        <v>265</v>
      </c>
      <c r="C51" s="390" t="s">
        <v>464</v>
      </c>
      <c r="D51" s="391"/>
      <c r="E51" s="88" t="s">
        <v>101</v>
      </c>
      <c r="F51" s="89"/>
      <c r="G51" s="394">
        <f>IFERROR($F52/S52,0)</f>
        <v>0.30000033620532729</v>
      </c>
      <c r="H51" s="394"/>
      <c r="I51" s="395"/>
      <c r="J51" s="89"/>
      <c r="K51" s="394">
        <f>IFERROR($J52/S52,0)</f>
        <v>0.34999983189733636</v>
      </c>
      <c r="L51" s="394"/>
      <c r="M51" s="395"/>
      <c r="N51" s="90"/>
      <c r="O51" s="91"/>
      <c r="P51" s="396">
        <f>IFERROR($N52/S52,0)</f>
        <v>0.34999983189733636</v>
      </c>
      <c r="Q51" s="396"/>
      <c r="R51" s="397"/>
      <c r="S51" s="92">
        <f>P51+K51+G51</f>
        <v>1</v>
      </c>
      <c r="T51" s="207"/>
    </row>
    <row r="52" spans="1:20" ht="24.95" customHeight="1">
      <c r="A52" s="386"/>
      <c r="B52" s="389"/>
      <c r="C52" s="392"/>
      <c r="D52" s="393"/>
      <c r="E52" s="93" t="s">
        <v>102</v>
      </c>
      <c r="F52" s="398">
        <v>6246.19</v>
      </c>
      <c r="G52" s="399"/>
      <c r="H52" s="399"/>
      <c r="I52" s="399"/>
      <c r="J52" s="398">
        <v>7287.21</v>
      </c>
      <c r="K52" s="399"/>
      <c r="L52" s="399"/>
      <c r="M52" s="399"/>
      <c r="N52" s="398">
        <v>7287.21</v>
      </c>
      <c r="O52" s="399"/>
      <c r="P52" s="399"/>
      <c r="Q52" s="399"/>
      <c r="R52" s="400"/>
      <c r="S52" s="203">
        <f>IFERROR(F52+J52+N52,0)</f>
        <v>20820.61</v>
      </c>
      <c r="T52" s="207"/>
    </row>
    <row r="53" spans="1:20" ht="24.95" customHeight="1">
      <c r="A53" s="386"/>
      <c r="B53" s="388" t="s">
        <v>266</v>
      </c>
      <c r="C53" s="390" t="s">
        <v>471</v>
      </c>
      <c r="D53" s="391"/>
      <c r="E53" s="88" t="s">
        <v>101</v>
      </c>
      <c r="F53" s="89"/>
      <c r="G53" s="394">
        <f>IFERROR($F54/S54,0)</f>
        <v>0.29999969777549818</v>
      </c>
      <c r="H53" s="394"/>
      <c r="I53" s="395"/>
      <c r="J53" s="89"/>
      <c r="K53" s="394">
        <f>IFERROR($J54/S54,0)</f>
        <v>0.35000015111225097</v>
      </c>
      <c r="L53" s="394"/>
      <c r="M53" s="395"/>
      <c r="N53" s="90"/>
      <c r="O53" s="91"/>
      <c r="P53" s="396">
        <f>IFERROR($N54/S54,0)</f>
        <v>0.35000015111225097</v>
      </c>
      <c r="Q53" s="396"/>
      <c r="R53" s="397"/>
      <c r="S53" s="92">
        <f>P53+K53+G53</f>
        <v>1</v>
      </c>
      <c r="T53" s="207"/>
    </row>
    <row r="54" spans="1:20" ht="24.95" customHeight="1">
      <c r="A54" s="386"/>
      <c r="B54" s="389"/>
      <c r="C54" s="392"/>
      <c r="D54" s="393"/>
      <c r="E54" s="93" t="s">
        <v>102</v>
      </c>
      <c r="F54" s="398">
        <v>6948.47</v>
      </c>
      <c r="G54" s="399"/>
      <c r="H54" s="399"/>
      <c r="I54" s="399"/>
      <c r="J54" s="398">
        <v>8106.56</v>
      </c>
      <c r="K54" s="399"/>
      <c r="L54" s="399"/>
      <c r="M54" s="399"/>
      <c r="N54" s="398">
        <v>8106.56</v>
      </c>
      <c r="O54" s="399"/>
      <c r="P54" s="399"/>
      <c r="Q54" s="399"/>
      <c r="R54" s="400"/>
      <c r="S54" s="203">
        <f>IFERROR(F54+J54+N54,0)</f>
        <v>23161.59</v>
      </c>
      <c r="T54" s="207"/>
    </row>
    <row r="55" spans="1:20" ht="24.95" customHeight="1">
      <c r="A55" s="386"/>
      <c r="B55" s="388" t="s">
        <v>783</v>
      </c>
      <c r="C55" s="390" t="s">
        <v>482</v>
      </c>
      <c r="D55" s="391"/>
      <c r="E55" s="88" t="s">
        <v>101</v>
      </c>
      <c r="F55" s="89"/>
      <c r="G55" s="394">
        <f>IFERROR($F56/S56,0)</f>
        <v>0.30000056522562396</v>
      </c>
      <c r="H55" s="394"/>
      <c r="I55" s="395"/>
      <c r="J55" s="89"/>
      <c r="K55" s="394">
        <f>IFERROR($J56/S56,0)</f>
        <v>0.34999971738718805</v>
      </c>
      <c r="L55" s="394"/>
      <c r="M55" s="395"/>
      <c r="N55" s="90"/>
      <c r="O55" s="91"/>
      <c r="P55" s="396">
        <f>IFERROR($N56/S56,0)</f>
        <v>0.34999971738718805</v>
      </c>
      <c r="Q55" s="396"/>
      <c r="R55" s="397"/>
      <c r="S55" s="92">
        <f>P55+K55+G55</f>
        <v>1</v>
      </c>
      <c r="T55" s="207"/>
    </row>
    <row r="56" spans="1:20" ht="24.95" customHeight="1">
      <c r="A56" s="386"/>
      <c r="B56" s="389" t="s">
        <v>784</v>
      </c>
      <c r="C56" s="392"/>
      <c r="D56" s="393"/>
      <c r="E56" s="93" t="s">
        <v>102</v>
      </c>
      <c r="F56" s="398">
        <v>4246.1000000000004</v>
      </c>
      <c r="G56" s="399"/>
      <c r="H56" s="399"/>
      <c r="I56" s="399"/>
      <c r="J56" s="398">
        <v>4953.7700000000004</v>
      </c>
      <c r="K56" s="399"/>
      <c r="L56" s="399"/>
      <c r="M56" s="399"/>
      <c r="N56" s="398">
        <v>4953.7700000000004</v>
      </c>
      <c r="O56" s="399"/>
      <c r="P56" s="399"/>
      <c r="Q56" s="399"/>
      <c r="R56" s="400"/>
      <c r="S56" s="203">
        <f>IFERROR(F56+J56+N56,0)</f>
        <v>14153.640000000001</v>
      </c>
      <c r="T56" s="207"/>
    </row>
    <row r="57" spans="1:20" ht="24.95" customHeight="1">
      <c r="A57" s="386"/>
      <c r="B57" s="388" t="s">
        <v>784</v>
      </c>
      <c r="C57" s="390" t="s">
        <v>57</v>
      </c>
      <c r="D57" s="391"/>
      <c r="E57" s="88" t="s">
        <v>101</v>
      </c>
      <c r="F57" s="89"/>
      <c r="G57" s="394">
        <f>IFERROR($F58/S58,0)</f>
        <v>0.30000100858594814</v>
      </c>
      <c r="H57" s="394"/>
      <c r="I57" s="395"/>
      <c r="J57" s="89"/>
      <c r="K57" s="394">
        <f>IFERROR($J58/S58,0)</f>
        <v>0.34999949570702593</v>
      </c>
      <c r="L57" s="394"/>
      <c r="M57" s="395"/>
      <c r="N57" s="90"/>
      <c r="O57" s="91"/>
      <c r="P57" s="396">
        <f>IFERROR($N58/S58,0)</f>
        <v>0.34999949570702593</v>
      </c>
      <c r="Q57" s="396"/>
      <c r="R57" s="397"/>
      <c r="S57" s="92">
        <f>P57+K57+G57</f>
        <v>1</v>
      </c>
      <c r="T57" s="207"/>
    </row>
    <row r="58" spans="1:20" ht="24.95" customHeight="1">
      <c r="A58" s="386"/>
      <c r="B58" s="389"/>
      <c r="C58" s="392"/>
      <c r="D58" s="393"/>
      <c r="E58" s="93" t="s">
        <v>102</v>
      </c>
      <c r="F58" s="398">
        <v>2082.13</v>
      </c>
      <c r="G58" s="399"/>
      <c r="H58" s="399"/>
      <c r="I58" s="399"/>
      <c r="J58" s="398">
        <v>2429.14</v>
      </c>
      <c r="K58" s="399"/>
      <c r="L58" s="399"/>
      <c r="M58" s="399"/>
      <c r="N58" s="398">
        <v>2429.14</v>
      </c>
      <c r="O58" s="399"/>
      <c r="P58" s="399"/>
      <c r="Q58" s="399"/>
      <c r="R58" s="400"/>
      <c r="S58" s="203">
        <f>IFERROR(F58+J58+N58,0)</f>
        <v>6940.41</v>
      </c>
      <c r="T58" s="207"/>
    </row>
    <row r="59" spans="1:20" ht="24.95" customHeight="1">
      <c r="A59" s="386"/>
      <c r="B59" s="388" t="s">
        <v>785</v>
      </c>
      <c r="C59" s="390" t="s">
        <v>493</v>
      </c>
      <c r="D59" s="391"/>
      <c r="E59" s="88" t="s">
        <v>101</v>
      </c>
      <c r="F59" s="89"/>
      <c r="G59" s="394">
        <f>IFERROR($F60/S60,0)</f>
        <v>0.30000144921235311</v>
      </c>
      <c r="H59" s="394"/>
      <c r="I59" s="395"/>
      <c r="J59" s="89"/>
      <c r="K59" s="394">
        <f>IFERROR($J60/S60,0)</f>
        <v>0.34999927539382347</v>
      </c>
      <c r="L59" s="394"/>
      <c r="M59" s="395"/>
      <c r="N59" s="90"/>
      <c r="O59" s="91"/>
      <c r="P59" s="396">
        <f>IFERROR($N60/S60,0)</f>
        <v>0.34999927539382347</v>
      </c>
      <c r="Q59" s="396"/>
      <c r="R59" s="397"/>
      <c r="S59" s="92">
        <f>P59+K59+G59</f>
        <v>1</v>
      </c>
      <c r="T59" s="207"/>
    </row>
    <row r="60" spans="1:20" ht="24.95" customHeight="1">
      <c r="A60" s="386"/>
      <c r="B60" s="389"/>
      <c r="C60" s="392"/>
      <c r="D60" s="393"/>
      <c r="E60" s="93" t="s">
        <v>102</v>
      </c>
      <c r="F60" s="398">
        <v>1035.05</v>
      </c>
      <c r="G60" s="399"/>
      <c r="H60" s="399"/>
      <c r="I60" s="399"/>
      <c r="J60" s="398">
        <v>1207.55</v>
      </c>
      <c r="K60" s="399"/>
      <c r="L60" s="399"/>
      <c r="M60" s="399"/>
      <c r="N60" s="398">
        <v>1207.55</v>
      </c>
      <c r="O60" s="399"/>
      <c r="P60" s="399"/>
      <c r="Q60" s="399"/>
      <c r="R60" s="400"/>
      <c r="S60" s="203">
        <f>IFERROR(F60+J60+N60,0)</f>
        <v>3450.1499999999996</v>
      </c>
      <c r="T60" s="207"/>
    </row>
    <row r="61" spans="1:20" ht="24.95" customHeight="1">
      <c r="A61" s="386"/>
      <c r="B61" s="388" t="s">
        <v>786</v>
      </c>
      <c r="C61" s="390" t="s">
        <v>153</v>
      </c>
      <c r="D61" s="391"/>
      <c r="E61" s="88" t="s">
        <v>101</v>
      </c>
      <c r="F61" s="89"/>
      <c r="G61" s="394">
        <f>IFERROR($F62/S62,0)</f>
        <v>0.30000083606447731</v>
      </c>
      <c r="H61" s="394"/>
      <c r="I61" s="395"/>
      <c r="J61" s="89"/>
      <c r="K61" s="394">
        <f>IFERROR($J62/S62,0)</f>
        <v>0.34999958196776138</v>
      </c>
      <c r="L61" s="394"/>
      <c r="M61" s="395"/>
      <c r="N61" s="90"/>
      <c r="O61" s="91"/>
      <c r="P61" s="396">
        <f>IFERROR($N62/S62,0)</f>
        <v>0.34999958196776138</v>
      </c>
      <c r="Q61" s="396"/>
      <c r="R61" s="397"/>
      <c r="S61" s="92">
        <f>P61+K61+G61</f>
        <v>1</v>
      </c>
      <c r="T61" s="207"/>
    </row>
    <row r="62" spans="1:20" ht="24.95" customHeight="1">
      <c r="A62" s="386"/>
      <c r="B62" s="389"/>
      <c r="C62" s="392"/>
      <c r="D62" s="393"/>
      <c r="E62" s="93" t="s">
        <v>102</v>
      </c>
      <c r="F62" s="398">
        <v>2870.6</v>
      </c>
      <c r="G62" s="399"/>
      <c r="H62" s="399"/>
      <c r="I62" s="399"/>
      <c r="J62" s="398">
        <v>3349.02</v>
      </c>
      <c r="K62" s="399"/>
      <c r="L62" s="399"/>
      <c r="M62" s="399"/>
      <c r="N62" s="398">
        <v>3349.02</v>
      </c>
      <c r="O62" s="399"/>
      <c r="P62" s="399"/>
      <c r="Q62" s="399"/>
      <c r="R62" s="400"/>
      <c r="S62" s="203">
        <f>IFERROR(F62+J62+N62,0)</f>
        <v>9568.64</v>
      </c>
      <c r="T62" s="207"/>
    </row>
    <row r="63" spans="1:20" ht="24.95" customHeight="1">
      <c r="A63" s="386"/>
      <c r="B63" s="388" t="s">
        <v>787</v>
      </c>
      <c r="C63" s="390" t="s">
        <v>538</v>
      </c>
      <c r="D63" s="391"/>
      <c r="E63" s="88" t="s">
        <v>101</v>
      </c>
      <c r="F63" s="89"/>
      <c r="G63" s="394">
        <f>IFERROR($F64/S64,0)</f>
        <v>0.300000189192206</v>
      </c>
      <c r="H63" s="394"/>
      <c r="I63" s="395"/>
      <c r="J63" s="89"/>
      <c r="K63" s="394">
        <f>IFERROR($J64/S64,0)</f>
        <v>0.34999990540389697</v>
      </c>
      <c r="L63" s="394"/>
      <c r="M63" s="395"/>
      <c r="N63" s="90"/>
      <c r="O63" s="91"/>
      <c r="P63" s="396">
        <f>IFERROR($N64/S64,0)</f>
        <v>0.34999990540389697</v>
      </c>
      <c r="Q63" s="396"/>
      <c r="R63" s="397"/>
      <c r="S63" s="92">
        <f>P63+K63+G63</f>
        <v>1</v>
      </c>
      <c r="T63" s="207"/>
    </row>
    <row r="64" spans="1:20" ht="24.95" customHeight="1">
      <c r="A64" s="386"/>
      <c r="B64" s="389"/>
      <c r="C64" s="392"/>
      <c r="D64" s="393"/>
      <c r="E64" s="93" t="s">
        <v>102</v>
      </c>
      <c r="F64" s="398">
        <v>7928.45</v>
      </c>
      <c r="G64" s="399"/>
      <c r="H64" s="399"/>
      <c r="I64" s="399"/>
      <c r="J64" s="398">
        <v>9249.85</v>
      </c>
      <c r="K64" s="399"/>
      <c r="L64" s="399"/>
      <c r="M64" s="399"/>
      <c r="N64" s="398">
        <v>9249.85</v>
      </c>
      <c r="O64" s="399"/>
      <c r="P64" s="399"/>
      <c r="Q64" s="399"/>
      <c r="R64" s="400"/>
      <c r="S64" s="203">
        <f>IFERROR(F64+J64+N64,0)</f>
        <v>26428.15</v>
      </c>
      <c r="T64" s="207"/>
    </row>
    <row r="65" spans="1:28" ht="24.95" customHeight="1">
      <c r="A65" s="386"/>
      <c r="B65" s="388" t="s">
        <v>788</v>
      </c>
      <c r="C65" s="390" t="s">
        <v>560</v>
      </c>
      <c r="D65" s="391"/>
      <c r="E65" s="88" t="s">
        <v>101</v>
      </c>
      <c r="F65" s="89"/>
      <c r="G65" s="394">
        <f>IFERROR($F66/S66,0)</f>
        <v>0.30000013878165432</v>
      </c>
      <c r="H65" s="394"/>
      <c r="I65" s="395"/>
      <c r="J65" s="89"/>
      <c r="K65" s="394">
        <f>IFERROR($J66/S66,0)</f>
        <v>0.34999993060917278</v>
      </c>
      <c r="L65" s="394"/>
      <c r="M65" s="395"/>
      <c r="N65" s="90"/>
      <c r="O65" s="91"/>
      <c r="P65" s="396">
        <f>IFERROR($N66/S66,0)</f>
        <v>0.34999993060917278</v>
      </c>
      <c r="Q65" s="396"/>
      <c r="R65" s="397"/>
      <c r="S65" s="92">
        <f>P65+K65+G65</f>
        <v>0.99999999999999989</v>
      </c>
      <c r="T65" s="207"/>
    </row>
    <row r="66" spans="1:28" ht="24.95" customHeight="1">
      <c r="A66" s="386"/>
      <c r="B66" s="389"/>
      <c r="C66" s="392"/>
      <c r="D66" s="393"/>
      <c r="E66" s="93" t="s">
        <v>102</v>
      </c>
      <c r="F66" s="398">
        <v>6485.01</v>
      </c>
      <c r="G66" s="399"/>
      <c r="H66" s="399"/>
      <c r="I66" s="399"/>
      <c r="J66" s="398">
        <v>7565.84</v>
      </c>
      <c r="K66" s="399"/>
      <c r="L66" s="399"/>
      <c r="M66" s="399"/>
      <c r="N66" s="398">
        <v>7565.84</v>
      </c>
      <c r="O66" s="399"/>
      <c r="P66" s="399"/>
      <c r="Q66" s="399"/>
      <c r="R66" s="400"/>
      <c r="S66" s="203">
        <f>IFERROR(F66+J66+N66,0)</f>
        <v>21616.690000000002</v>
      </c>
      <c r="T66" s="207"/>
    </row>
    <row r="67" spans="1:28" ht="24.95" customHeight="1">
      <c r="A67" s="386"/>
      <c r="B67" s="388" t="s">
        <v>789</v>
      </c>
      <c r="C67" s="390" t="s">
        <v>259</v>
      </c>
      <c r="D67" s="391"/>
      <c r="E67" s="88" t="s">
        <v>101</v>
      </c>
      <c r="F67" s="89"/>
      <c r="G67" s="394">
        <f>IFERROR($F68/S68,0)</f>
        <v>0.30000344910840554</v>
      </c>
      <c r="H67" s="394"/>
      <c r="I67" s="395"/>
      <c r="J67" s="89"/>
      <c r="K67" s="394">
        <f>IFERROR($J68/S68,0)</f>
        <v>0.34999827544579731</v>
      </c>
      <c r="L67" s="394"/>
      <c r="M67" s="395"/>
      <c r="N67" s="90"/>
      <c r="O67" s="91"/>
      <c r="P67" s="396">
        <f>IFERROR($N68/S68,0)</f>
        <v>0.34999827544579731</v>
      </c>
      <c r="Q67" s="396"/>
      <c r="R67" s="397"/>
      <c r="S67" s="92">
        <f>P67+K67+G67</f>
        <v>1.0000000000000002</v>
      </c>
      <c r="T67" s="207"/>
    </row>
    <row r="68" spans="1:28" ht="24.95" customHeight="1">
      <c r="A68" s="386"/>
      <c r="B68" s="389"/>
      <c r="C68" s="392"/>
      <c r="D68" s="393"/>
      <c r="E68" s="93" t="s">
        <v>102</v>
      </c>
      <c r="F68" s="398">
        <v>173.96</v>
      </c>
      <c r="G68" s="399"/>
      <c r="H68" s="399"/>
      <c r="I68" s="399"/>
      <c r="J68" s="398">
        <v>202.95</v>
      </c>
      <c r="K68" s="399"/>
      <c r="L68" s="399"/>
      <c r="M68" s="399"/>
      <c r="N68" s="398">
        <v>202.95</v>
      </c>
      <c r="O68" s="399"/>
      <c r="P68" s="399"/>
      <c r="Q68" s="399"/>
      <c r="R68" s="400"/>
      <c r="S68" s="203">
        <f>IFERROR(F68+J68+N68,0)</f>
        <v>579.8599999999999</v>
      </c>
      <c r="T68" s="207"/>
    </row>
    <row r="69" spans="1:28" ht="24.95" customHeight="1">
      <c r="A69" s="386" t="s">
        <v>764</v>
      </c>
      <c r="B69" s="388" t="s">
        <v>789</v>
      </c>
      <c r="C69" s="390" t="s">
        <v>791</v>
      </c>
      <c r="D69" s="391"/>
      <c r="E69" s="88" t="s">
        <v>101</v>
      </c>
      <c r="F69" s="89"/>
      <c r="G69" s="394">
        <f>IFERROR($F70/S70,0)</f>
        <v>0.299999961376197</v>
      </c>
      <c r="H69" s="394"/>
      <c r="I69" s="395"/>
      <c r="J69" s="89"/>
      <c r="K69" s="394">
        <f>IFERROR($J70/S70,0)</f>
        <v>0.3500000193119015</v>
      </c>
      <c r="L69" s="394"/>
      <c r="M69" s="395"/>
      <c r="N69" s="90"/>
      <c r="O69" s="91"/>
      <c r="P69" s="396">
        <f>IFERROR($N70/S70,0)</f>
        <v>0.3500000193119015</v>
      </c>
      <c r="Q69" s="396"/>
      <c r="R69" s="397"/>
      <c r="S69" s="92">
        <f>P69+K69+G69</f>
        <v>1</v>
      </c>
      <c r="T69" s="207"/>
    </row>
    <row r="70" spans="1:28" ht="24.95" customHeight="1">
      <c r="A70" s="386"/>
      <c r="B70" s="389"/>
      <c r="C70" s="392"/>
      <c r="D70" s="393"/>
      <c r="E70" s="93" t="s">
        <v>102</v>
      </c>
      <c r="F70" s="398">
        <v>31068.92</v>
      </c>
      <c r="G70" s="399"/>
      <c r="H70" s="399"/>
      <c r="I70" s="399"/>
      <c r="J70" s="398">
        <v>36247.08</v>
      </c>
      <c r="K70" s="399"/>
      <c r="L70" s="399"/>
      <c r="M70" s="399"/>
      <c r="N70" s="398">
        <v>36247.08</v>
      </c>
      <c r="O70" s="399"/>
      <c r="P70" s="399"/>
      <c r="Q70" s="399"/>
      <c r="R70" s="400"/>
      <c r="S70" s="203">
        <f>IFERROR(F70+J70+N70,0)</f>
        <v>103563.08</v>
      </c>
      <c r="T70" s="207"/>
    </row>
    <row r="71" spans="1:28" ht="24.95" customHeight="1">
      <c r="A71" s="386"/>
      <c r="B71" s="388" t="s">
        <v>131</v>
      </c>
      <c r="C71" s="390" t="s">
        <v>893</v>
      </c>
      <c r="D71" s="391"/>
      <c r="E71" s="88" t="s">
        <v>101</v>
      </c>
      <c r="F71" s="89"/>
      <c r="G71" s="394">
        <f>IFERROR($F72/S72,0)</f>
        <v>0.29999792115639146</v>
      </c>
      <c r="H71" s="394"/>
      <c r="I71" s="395"/>
      <c r="J71" s="89"/>
      <c r="K71" s="394">
        <f>IFERROR($J72/S72,0)</f>
        <v>0.35000103942180433</v>
      </c>
      <c r="L71" s="394"/>
      <c r="M71" s="395"/>
      <c r="N71" s="90"/>
      <c r="O71" s="91"/>
      <c r="P71" s="396">
        <f>IFERROR($N72/S72,0)</f>
        <v>0.35000103942180433</v>
      </c>
      <c r="Q71" s="396"/>
      <c r="R71" s="397"/>
      <c r="S71" s="92">
        <f>P71+K71+G71</f>
        <v>1</v>
      </c>
      <c r="T71" s="207"/>
    </row>
    <row r="72" spans="1:28" ht="24.95" customHeight="1">
      <c r="A72" s="387"/>
      <c r="B72" s="389"/>
      <c r="C72" s="392"/>
      <c r="D72" s="393"/>
      <c r="E72" s="93" t="s">
        <v>102</v>
      </c>
      <c r="F72" s="398">
        <v>432.93</v>
      </c>
      <c r="G72" s="399"/>
      <c r="H72" s="399"/>
      <c r="I72" s="399"/>
      <c r="J72" s="398">
        <v>505.09</v>
      </c>
      <c r="K72" s="399"/>
      <c r="L72" s="399"/>
      <c r="M72" s="399"/>
      <c r="N72" s="398">
        <v>505.09</v>
      </c>
      <c r="O72" s="399"/>
      <c r="P72" s="399"/>
      <c r="Q72" s="399"/>
      <c r="R72" s="400"/>
      <c r="S72" s="203">
        <f>IFERROR(F72+J72+N72,0)</f>
        <v>1443.11</v>
      </c>
      <c r="T72" s="207"/>
    </row>
    <row r="73" spans="1:28">
      <c r="B73" s="463"/>
      <c r="C73" s="444"/>
      <c r="D73" s="444"/>
      <c r="E73" s="445"/>
      <c r="F73" s="463"/>
      <c r="G73" s="444"/>
      <c r="H73" s="444"/>
      <c r="I73" s="444"/>
      <c r="J73" s="463"/>
      <c r="K73" s="444"/>
      <c r="L73" s="444"/>
      <c r="M73" s="444"/>
      <c r="N73" s="444"/>
      <c r="O73" s="444"/>
      <c r="P73" s="444"/>
      <c r="Q73" s="444"/>
      <c r="R73" s="445"/>
      <c r="S73" s="94"/>
      <c r="T73" s="205"/>
      <c r="V73" s="96"/>
      <c r="W73" s="96"/>
      <c r="X73" s="96"/>
      <c r="Y73" s="96"/>
      <c r="Z73" s="97"/>
      <c r="AA73" s="55"/>
      <c r="AB73" s="55"/>
    </row>
    <row r="74" spans="1:28" ht="30" customHeight="1">
      <c r="B74" s="405" t="s">
        <v>103</v>
      </c>
      <c r="C74" s="405"/>
      <c r="D74" s="405"/>
      <c r="E74" s="405"/>
      <c r="F74" s="446">
        <f>IFERROR(F76-F75,"")</f>
        <v>514399.1100000001</v>
      </c>
      <c r="G74" s="447"/>
      <c r="H74" s="447"/>
      <c r="I74" s="447"/>
      <c r="J74" s="446">
        <f>IFERROR(J76-J75,"")</f>
        <v>600132.2699999999</v>
      </c>
      <c r="K74" s="447"/>
      <c r="L74" s="447"/>
      <c r="M74" s="447"/>
      <c r="N74" s="446">
        <f>IFERROR(N76-N75,"")</f>
        <v>600132.2699999999</v>
      </c>
      <c r="O74" s="447"/>
      <c r="P74" s="447"/>
      <c r="Q74" s="447"/>
      <c r="R74" s="448"/>
      <c r="S74" s="98">
        <f>IFERROR(F74+J74+N74,"")</f>
        <v>1714663.65</v>
      </c>
      <c r="T74" s="205"/>
      <c r="V74" s="96"/>
      <c r="W74" s="96"/>
      <c r="X74" s="96"/>
      <c r="Y74" s="96"/>
      <c r="Z74" s="97"/>
      <c r="AA74" s="55"/>
      <c r="AB74" s="55"/>
    </row>
    <row r="75" spans="1:28" ht="30" customHeight="1">
      <c r="B75" s="405" t="s">
        <v>104</v>
      </c>
      <c r="C75" s="405"/>
      <c r="D75" s="405"/>
      <c r="E75" s="405"/>
      <c r="F75" s="398">
        <v>33956.480000000003</v>
      </c>
      <c r="G75" s="399"/>
      <c r="H75" s="399"/>
      <c r="I75" s="399"/>
      <c r="J75" s="398">
        <v>39615.910000000003</v>
      </c>
      <c r="K75" s="399"/>
      <c r="L75" s="399"/>
      <c r="M75" s="399"/>
      <c r="N75" s="455">
        <v>39615.910000000003</v>
      </c>
      <c r="O75" s="456"/>
      <c r="P75" s="456"/>
      <c r="Q75" s="456"/>
      <c r="R75" s="457"/>
      <c r="S75" s="98">
        <f>IFERROR(F75+J75+N75,"")</f>
        <v>113188.30000000002</v>
      </c>
      <c r="T75" s="205"/>
      <c r="V75" s="54"/>
      <c r="W75" s="96"/>
      <c r="X75" s="96"/>
      <c r="Y75" s="96"/>
      <c r="Z75" s="97"/>
      <c r="AA75" s="55"/>
      <c r="AB75" s="55"/>
    </row>
    <row r="76" spans="1:28" ht="35.1" customHeight="1">
      <c r="B76" s="405" t="s">
        <v>105</v>
      </c>
      <c r="C76" s="405"/>
      <c r="D76" s="405"/>
      <c r="E76" s="405"/>
      <c r="F76" s="446">
        <f>SUMIF(F17:F72,"&gt;0")</f>
        <v>548355.59000000008</v>
      </c>
      <c r="G76" s="447"/>
      <c r="H76" s="447"/>
      <c r="I76" s="447"/>
      <c r="J76" s="446">
        <f>SUMIF(J17:J72,"&gt;0")</f>
        <v>639748.17999999993</v>
      </c>
      <c r="K76" s="447"/>
      <c r="L76" s="447"/>
      <c r="M76" s="447"/>
      <c r="N76" s="446">
        <f>SUMIF(N17:N72,"&gt;0")</f>
        <v>639748.17999999993</v>
      </c>
      <c r="O76" s="447"/>
      <c r="P76" s="447"/>
      <c r="Q76" s="447"/>
      <c r="R76" s="448"/>
      <c r="S76" s="206">
        <f>IFERROR(F76+J76+N76,"")</f>
        <v>1827851.95</v>
      </c>
      <c r="T76" s="205"/>
      <c r="V76" s="99"/>
      <c r="W76" s="54"/>
      <c r="X76" s="54"/>
      <c r="Y76" s="54"/>
      <c r="Z76" s="55"/>
      <c r="AA76" s="55"/>
      <c r="AB76" s="55"/>
    </row>
    <row r="77" spans="1:28" ht="35.1" customHeight="1">
      <c r="B77" s="462" t="s">
        <v>106</v>
      </c>
      <c r="C77" s="462"/>
      <c r="D77" s="462"/>
      <c r="E77" s="462"/>
      <c r="F77" s="449">
        <f>IFERROR(F76/S76,"O percentual será calculado após lançamento dos valores dos itens/serviços")</f>
        <v>0.30000000273545135</v>
      </c>
      <c r="G77" s="450"/>
      <c r="H77" s="450"/>
      <c r="I77" s="450"/>
      <c r="J77" s="449">
        <f>IFERROR(J76/S76,"O percentual será calculado após lançamento dos valores dos itens/serviços")</f>
        <v>0.34999999863227432</v>
      </c>
      <c r="K77" s="450"/>
      <c r="L77" s="450"/>
      <c r="M77" s="450"/>
      <c r="N77" s="449">
        <f>IFERROR(N76/S76,"O percentual será calculado após lançamento dos valores dos itens/serviços")</f>
        <v>0.34999999863227432</v>
      </c>
      <c r="O77" s="450"/>
      <c r="P77" s="450"/>
      <c r="Q77" s="450"/>
      <c r="R77" s="451"/>
      <c r="S77" s="100">
        <f>IFERROR(N77+J77+F77,"")</f>
        <v>1</v>
      </c>
      <c r="T77" s="53"/>
      <c r="V77" s="99"/>
      <c r="W77" s="54"/>
      <c r="X77" s="54"/>
      <c r="Y77" s="54"/>
      <c r="Z77" s="55"/>
      <c r="AA77" s="55"/>
      <c r="AB77" s="55"/>
    </row>
    <row r="78" spans="1:28">
      <c r="B78" s="53"/>
      <c r="C78" s="53"/>
      <c r="D78" s="101"/>
      <c r="E78" s="101"/>
      <c r="F78" s="102"/>
      <c r="G78" s="102"/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53"/>
      <c r="U78" s="103"/>
      <c r="V78" s="99"/>
      <c r="W78" s="54"/>
      <c r="X78" s="54"/>
      <c r="Y78" s="54"/>
      <c r="Z78" s="55"/>
      <c r="AA78" s="55"/>
      <c r="AB78" s="55"/>
    </row>
    <row r="79" spans="1:28" s="104" customFormat="1">
      <c r="B79" s="61"/>
      <c r="C79" s="61"/>
      <c r="D79" s="452"/>
      <c r="E79" s="453"/>
      <c r="F79" s="453"/>
      <c r="G79" s="453"/>
      <c r="H79" s="453"/>
      <c r="I79" s="453"/>
      <c r="J79" s="453"/>
      <c r="K79" s="453"/>
      <c r="L79" s="453"/>
      <c r="M79" s="453"/>
      <c r="N79" s="453"/>
      <c r="O79" s="453"/>
      <c r="P79" s="453"/>
      <c r="Q79" s="453"/>
      <c r="R79" s="453"/>
      <c r="S79" s="453"/>
      <c r="T79" s="61"/>
      <c r="U79" s="103"/>
      <c r="V79" s="99"/>
      <c r="W79" s="54"/>
      <c r="X79" s="54"/>
      <c r="Y79" s="54"/>
      <c r="Z79" s="54"/>
      <c r="AA79" s="54"/>
      <c r="AB79" s="54"/>
    </row>
    <row r="80" spans="1:28" s="104" customFormat="1">
      <c r="B80" s="105"/>
      <c r="C80" s="105"/>
      <c r="D80" s="453"/>
      <c r="E80" s="453"/>
      <c r="F80" s="453"/>
      <c r="G80" s="453"/>
      <c r="H80" s="453"/>
      <c r="I80" s="453"/>
      <c r="J80" s="453"/>
      <c r="K80" s="453"/>
      <c r="L80" s="453"/>
      <c r="M80" s="453"/>
      <c r="N80" s="453"/>
      <c r="O80" s="453"/>
      <c r="P80" s="453"/>
      <c r="Q80" s="453"/>
      <c r="R80" s="453"/>
      <c r="S80" s="453"/>
      <c r="T80" s="61"/>
      <c r="U80" s="103"/>
      <c r="V80" s="99"/>
      <c r="W80" s="54"/>
      <c r="X80" s="54"/>
      <c r="Y80" s="54"/>
      <c r="Z80" s="54"/>
      <c r="AA80" s="54"/>
      <c r="AB80" s="54"/>
    </row>
    <row r="81" spans="2:28" s="104" customFormat="1">
      <c r="B81" s="106"/>
      <c r="C81" s="106"/>
      <c r="D81" s="453"/>
      <c r="E81" s="453"/>
      <c r="F81" s="453"/>
      <c r="G81" s="453"/>
      <c r="H81" s="453"/>
      <c r="I81" s="453"/>
      <c r="J81" s="453"/>
      <c r="K81" s="453"/>
      <c r="L81" s="453"/>
      <c r="M81" s="453"/>
      <c r="N81" s="453"/>
      <c r="O81" s="453"/>
      <c r="P81" s="453"/>
      <c r="Q81" s="453"/>
      <c r="R81" s="453"/>
      <c r="S81" s="453"/>
      <c r="T81" s="61"/>
      <c r="U81" s="107"/>
      <c r="V81" s="99"/>
      <c r="W81" s="54"/>
      <c r="X81" s="54"/>
      <c r="Y81" s="54"/>
      <c r="Z81" s="54"/>
      <c r="AA81" s="54"/>
      <c r="AB81" s="54"/>
    </row>
    <row r="82" spans="2:28" s="104" customFormat="1">
      <c r="B82" s="106"/>
      <c r="C82" s="106"/>
      <c r="D82" s="453"/>
      <c r="E82" s="453"/>
      <c r="F82" s="453"/>
      <c r="G82" s="453"/>
      <c r="H82" s="453"/>
      <c r="I82" s="453"/>
      <c r="J82" s="453"/>
      <c r="K82" s="453"/>
      <c r="L82" s="453"/>
      <c r="M82" s="453"/>
      <c r="N82" s="453"/>
      <c r="O82" s="453"/>
      <c r="P82" s="453"/>
      <c r="Q82" s="453"/>
      <c r="R82" s="453"/>
      <c r="S82" s="453"/>
      <c r="T82" s="61"/>
      <c r="U82" s="103"/>
      <c r="V82" s="108"/>
      <c r="W82" s="54"/>
      <c r="X82" s="54"/>
      <c r="Y82" s="54"/>
      <c r="Z82" s="54"/>
      <c r="AA82" s="54"/>
      <c r="AB82" s="54"/>
    </row>
    <row r="83" spans="2:28" s="104" customFormat="1">
      <c r="B83" s="106"/>
      <c r="C83" s="106"/>
      <c r="D83" s="453"/>
      <c r="E83" s="453"/>
      <c r="F83" s="453"/>
      <c r="G83" s="453"/>
      <c r="H83" s="453"/>
      <c r="I83" s="453"/>
      <c r="J83" s="453"/>
      <c r="K83" s="453"/>
      <c r="L83" s="453"/>
      <c r="M83" s="453"/>
      <c r="N83" s="453"/>
      <c r="O83" s="453"/>
      <c r="P83" s="453"/>
      <c r="Q83" s="453"/>
      <c r="R83" s="453"/>
      <c r="S83" s="453"/>
      <c r="T83" s="61"/>
      <c r="U83" s="54"/>
      <c r="V83" s="54"/>
      <c r="W83" s="54"/>
      <c r="X83" s="54"/>
      <c r="Y83" s="54"/>
      <c r="Z83" s="54"/>
      <c r="AA83" s="54"/>
      <c r="AB83" s="54"/>
    </row>
    <row r="84" spans="2:28" ht="30.75" customHeight="1">
      <c r="B84" s="106"/>
      <c r="C84" s="106"/>
      <c r="D84" s="189"/>
      <c r="E84" s="189"/>
      <c r="F84" s="189"/>
      <c r="G84" s="189"/>
      <c r="H84" s="189"/>
      <c r="I84" s="189"/>
      <c r="J84" s="189"/>
      <c r="K84" s="189"/>
      <c r="L84" s="189"/>
      <c r="M84" s="189"/>
      <c r="N84" s="189"/>
      <c r="O84" s="189"/>
      <c r="P84" s="189"/>
      <c r="Q84" s="189"/>
      <c r="R84" s="189"/>
      <c r="S84" s="189"/>
      <c r="T84" s="53"/>
      <c r="U84" s="103"/>
      <c r="V84" s="54"/>
      <c r="W84" s="54"/>
      <c r="X84" s="54"/>
      <c r="Y84" s="54"/>
      <c r="Z84" s="55"/>
      <c r="AA84" s="55"/>
      <c r="AB84" s="55"/>
    </row>
    <row r="85" spans="2:28" ht="12" customHeight="1">
      <c r="B85" s="106"/>
      <c r="C85" s="106"/>
      <c r="D85" s="189"/>
      <c r="E85" s="189"/>
      <c r="F85" s="189"/>
      <c r="G85" s="189"/>
      <c r="H85" s="189"/>
      <c r="I85" s="189"/>
      <c r="J85" s="189"/>
      <c r="K85" s="189"/>
      <c r="L85" s="189"/>
      <c r="M85" s="189"/>
      <c r="N85" s="189"/>
      <c r="O85" s="189"/>
      <c r="P85" s="189"/>
      <c r="Q85" s="189"/>
      <c r="R85" s="189"/>
      <c r="S85" s="189"/>
      <c r="T85" s="53"/>
      <c r="U85" s="103"/>
      <c r="V85" s="54"/>
      <c r="W85" s="54"/>
      <c r="X85" s="54"/>
      <c r="Y85" s="54"/>
      <c r="Z85" s="55"/>
      <c r="AA85" s="55"/>
      <c r="AB85" s="55"/>
    </row>
    <row r="86" spans="2:28" ht="13.5" customHeight="1">
      <c r="B86" s="106"/>
      <c r="C86" s="106"/>
      <c r="D86" s="189"/>
      <c r="E86" s="189"/>
      <c r="F86" s="189"/>
      <c r="G86" s="189"/>
      <c r="H86" s="189"/>
      <c r="I86" s="189"/>
      <c r="J86" s="189"/>
      <c r="K86" s="189"/>
      <c r="L86" s="189"/>
      <c r="M86" s="189"/>
      <c r="N86" s="189"/>
      <c r="O86" s="189"/>
      <c r="P86" s="189"/>
      <c r="Q86" s="189"/>
      <c r="R86" s="189"/>
      <c r="S86" s="189"/>
      <c r="T86" s="53"/>
      <c r="U86" s="103"/>
      <c r="V86" s="54"/>
      <c r="W86" s="54"/>
      <c r="X86" s="54"/>
      <c r="Y86" s="54"/>
      <c r="Z86" s="55"/>
      <c r="AA86" s="55"/>
      <c r="AB86" s="55"/>
    </row>
    <row r="87" spans="2:28" ht="21" customHeight="1">
      <c r="B87" s="106"/>
      <c r="C87" s="106"/>
      <c r="D87" s="189"/>
      <c r="E87" s="189"/>
      <c r="F87" s="189"/>
      <c r="G87" s="189"/>
      <c r="H87" s="189"/>
      <c r="I87" s="189"/>
      <c r="J87" s="189"/>
      <c r="K87" s="189"/>
      <c r="L87" s="189"/>
      <c r="M87" s="189"/>
      <c r="N87" s="189"/>
      <c r="O87" s="189"/>
      <c r="P87" s="189"/>
      <c r="Q87" s="189"/>
      <c r="R87" s="189"/>
      <c r="S87" s="189"/>
      <c r="T87" s="53"/>
      <c r="U87" s="103"/>
      <c r="V87" s="54"/>
      <c r="W87" s="54"/>
      <c r="X87" s="54"/>
      <c r="Y87" s="54"/>
      <c r="Z87" s="55"/>
      <c r="AA87" s="55"/>
      <c r="AB87" s="55"/>
    </row>
    <row r="88" spans="2:28" ht="46.5" customHeight="1" thickBot="1">
      <c r="B88" s="106"/>
      <c r="C88" s="106"/>
      <c r="D88" s="109"/>
      <c r="E88" s="109"/>
      <c r="F88" s="109"/>
      <c r="G88" s="189"/>
      <c r="H88" s="189"/>
      <c r="I88" s="189"/>
      <c r="J88" s="189"/>
      <c r="K88" s="189"/>
      <c r="L88" s="189"/>
      <c r="M88" s="189"/>
      <c r="N88" s="189"/>
      <c r="O88" s="189"/>
      <c r="P88" s="189"/>
      <c r="Q88" s="189"/>
      <c r="R88" s="189"/>
      <c r="S88" s="189"/>
      <c r="T88" s="53"/>
      <c r="U88" s="103"/>
      <c r="V88" s="54"/>
      <c r="W88" s="54"/>
      <c r="X88" s="54"/>
      <c r="Y88" s="54"/>
      <c r="Z88" s="55"/>
      <c r="AA88" s="55"/>
      <c r="AB88" s="55"/>
    </row>
    <row r="89" spans="2:28" ht="15" customHeight="1">
      <c r="B89" s="53"/>
      <c r="C89" s="53"/>
      <c r="D89" s="454" t="s">
        <v>48</v>
      </c>
      <c r="E89" s="454"/>
      <c r="F89" s="454"/>
      <c r="G89" s="110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4"/>
      <c r="V89" s="54"/>
      <c r="W89" s="54"/>
      <c r="X89" s="54"/>
      <c r="Y89" s="54"/>
      <c r="Z89" s="55"/>
      <c r="AA89" s="55"/>
      <c r="AB89" s="55"/>
    </row>
    <row r="90" spans="2:28">
      <c r="B90" s="53"/>
      <c r="C90" s="53"/>
      <c r="D90" s="459" t="s">
        <v>381</v>
      </c>
      <c r="E90" s="459"/>
      <c r="F90" s="459"/>
      <c r="G90" s="111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103"/>
      <c r="V90" s="54"/>
      <c r="W90" s="54"/>
      <c r="X90" s="54"/>
      <c r="Y90" s="54"/>
      <c r="Z90" s="55"/>
      <c r="AA90" s="55"/>
      <c r="AB90" s="55"/>
    </row>
    <row r="91" spans="2:28" s="113" customFormat="1">
      <c r="B91" s="56"/>
      <c r="C91" s="56"/>
      <c r="D91" s="458" t="s">
        <v>382</v>
      </c>
      <c r="E91" s="458"/>
      <c r="F91" s="458"/>
      <c r="G91" s="112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103"/>
      <c r="V91" s="54"/>
      <c r="W91" s="54"/>
      <c r="X91" s="54"/>
      <c r="Y91" s="54"/>
      <c r="Z91" s="55"/>
    </row>
    <row r="92" spans="2:28" s="113" customFormat="1">
      <c r="B92" s="56"/>
      <c r="C92" s="56"/>
      <c r="D92" s="460"/>
      <c r="E92" s="460"/>
      <c r="F92" s="460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103"/>
      <c r="V92" s="54"/>
      <c r="W92" s="54"/>
      <c r="X92" s="54"/>
      <c r="Y92" s="54"/>
      <c r="Z92" s="55"/>
    </row>
    <row r="93" spans="2:28" s="113" customFormat="1">
      <c r="B93" s="56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107"/>
      <c r="V93" s="54"/>
      <c r="W93" s="54"/>
      <c r="X93" s="54"/>
      <c r="Y93" s="54"/>
      <c r="Z93" s="55"/>
    </row>
    <row r="94" spans="2:28" s="113" customFormat="1">
      <c r="B94" s="56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103"/>
      <c r="V94" s="107"/>
      <c r="W94" s="54"/>
      <c r="X94" s="54"/>
      <c r="Y94" s="54"/>
      <c r="Z94" s="55"/>
    </row>
    <row r="95" spans="2:28" s="113" customFormat="1"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107"/>
      <c r="V95" s="107"/>
      <c r="W95" s="54"/>
      <c r="X95" s="54"/>
      <c r="Y95" s="54"/>
      <c r="Z95" s="55"/>
    </row>
    <row r="96" spans="2:28" s="113" customFormat="1"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103"/>
      <c r="V96" s="107"/>
      <c r="W96" s="54"/>
      <c r="X96" s="54"/>
      <c r="Y96" s="54"/>
      <c r="Z96" s="55"/>
    </row>
    <row r="97" spans="2:26" s="113" customFormat="1">
      <c r="B97" s="56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114"/>
      <c r="V97" s="107"/>
      <c r="W97" s="54"/>
      <c r="X97" s="54"/>
      <c r="Y97" s="54"/>
      <c r="Z97" s="55"/>
    </row>
    <row r="98" spans="2:26" s="113" customFormat="1">
      <c r="B98" s="56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103"/>
      <c r="V98" s="114"/>
      <c r="W98" s="54"/>
      <c r="X98" s="54"/>
      <c r="Y98" s="54"/>
      <c r="Z98" s="55"/>
    </row>
    <row r="99" spans="2:26" s="113" customFormat="1">
      <c r="B99" s="56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107"/>
      <c r="V99" s="107"/>
      <c r="W99" s="54"/>
      <c r="X99" s="54"/>
      <c r="Y99" s="54"/>
      <c r="Z99" s="55"/>
    </row>
    <row r="100" spans="2:26" s="113" customFormat="1">
      <c r="B100" s="56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103"/>
      <c r="V100" s="107"/>
      <c r="W100" s="54"/>
      <c r="X100" s="54"/>
      <c r="Y100" s="54"/>
      <c r="Z100" s="55"/>
    </row>
  </sheetData>
  <sheetProtection formatCells="0" insertColumns="0" insertRows="0" deleteColumns="0" deleteRows="0" selectLockedCells="1"/>
  <mergeCells count="291">
    <mergeCell ref="D91:F91"/>
    <mergeCell ref="D90:F90"/>
    <mergeCell ref="D92:F92"/>
    <mergeCell ref="A17:A24"/>
    <mergeCell ref="B77:E77"/>
    <mergeCell ref="F77:I77"/>
    <mergeCell ref="J77:M77"/>
    <mergeCell ref="B73:E73"/>
    <mergeCell ref="F73:I73"/>
    <mergeCell ref="J73:M73"/>
    <mergeCell ref="B69:B70"/>
    <mergeCell ref="C69:D70"/>
    <mergeCell ref="G69:I69"/>
    <mergeCell ref="K69:M69"/>
    <mergeCell ref="B51:B52"/>
    <mergeCell ref="C51:D52"/>
    <mergeCell ref="G51:I51"/>
    <mergeCell ref="K51:M51"/>
    <mergeCell ref="B47:B48"/>
    <mergeCell ref="C47:D48"/>
    <mergeCell ref="G47:I47"/>
    <mergeCell ref="K47:M47"/>
    <mergeCell ref="B23:B24"/>
    <mergeCell ref="C23:D24"/>
    <mergeCell ref="N77:R77"/>
    <mergeCell ref="D79:S83"/>
    <mergeCell ref="D89:F89"/>
    <mergeCell ref="B75:E75"/>
    <mergeCell ref="F75:I75"/>
    <mergeCell ref="J75:M75"/>
    <mergeCell ref="N75:R75"/>
    <mergeCell ref="B76:E76"/>
    <mergeCell ref="F76:I76"/>
    <mergeCell ref="J76:M76"/>
    <mergeCell ref="N76:R76"/>
    <mergeCell ref="N73:R73"/>
    <mergeCell ref="B74:E74"/>
    <mergeCell ref="F74:I74"/>
    <mergeCell ref="J74:M74"/>
    <mergeCell ref="N74:R74"/>
    <mergeCell ref="B71:B72"/>
    <mergeCell ref="C71:D72"/>
    <mergeCell ref="G71:I71"/>
    <mergeCell ref="K71:M71"/>
    <mergeCell ref="P71:R71"/>
    <mergeCell ref="F72:I72"/>
    <mergeCell ref="J72:M72"/>
    <mergeCell ref="N72:R72"/>
    <mergeCell ref="P69:R69"/>
    <mergeCell ref="F70:I70"/>
    <mergeCell ref="J70:M70"/>
    <mergeCell ref="N70:R70"/>
    <mergeCell ref="B53:B54"/>
    <mergeCell ref="C53:D54"/>
    <mergeCell ref="G53:I53"/>
    <mergeCell ref="K53:M53"/>
    <mergeCell ref="P53:R53"/>
    <mergeCell ref="F54:I54"/>
    <mergeCell ref="J54:M54"/>
    <mergeCell ref="N54:R54"/>
    <mergeCell ref="B55:B56"/>
    <mergeCell ref="C55:D56"/>
    <mergeCell ref="G55:I55"/>
    <mergeCell ref="K55:M55"/>
    <mergeCell ref="P55:R55"/>
    <mergeCell ref="F56:I56"/>
    <mergeCell ref="J56:M56"/>
    <mergeCell ref="N56:R56"/>
    <mergeCell ref="B57:B58"/>
    <mergeCell ref="C57:D58"/>
    <mergeCell ref="G57:I57"/>
    <mergeCell ref="K57:M57"/>
    <mergeCell ref="P51:R51"/>
    <mergeCell ref="F52:I52"/>
    <mergeCell ref="J52:M52"/>
    <mergeCell ref="N52:R52"/>
    <mergeCell ref="B49:B50"/>
    <mergeCell ref="C49:D50"/>
    <mergeCell ref="G49:I49"/>
    <mergeCell ref="K49:M49"/>
    <mergeCell ref="P49:R49"/>
    <mergeCell ref="F50:I50"/>
    <mergeCell ref="J50:M50"/>
    <mergeCell ref="N50:R50"/>
    <mergeCell ref="N28:R28"/>
    <mergeCell ref="P47:R47"/>
    <mergeCell ref="F48:I48"/>
    <mergeCell ref="J48:M48"/>
    <mergeCell ref="N48:R48"/>
    <mergeCell ref="B31:B32"/>
    <mergeCell ref="C31:D32"/>
    <mergeCell ref="G31:I31"/>
    <mergeCell ref="K31:M31"/>
    <mergeCell ref="P31:R31"/>
    <mergeCell ref="F32:I32"/>
    <mergeCell ref="J32:M32"/>
    <mergeCell ref="N32:R32"/>
    <mergeCell ref="B35:B36"/>
    <mergeCell ref="C35:D36"/>
    <mergeCell ref="G35:I35"/>
    <mergeCell ref="K35:M35"/>
    <mergeCell ref="P35:R35"/>
    <mergeCell ref="F36:I36"/>
    <mergeCell ref="J36:M36"/>
    <mergeCell ref="N36:R36"/>
    <mergeCell ref="B37:B38"/>
    <mergeCell ref="C37:D38"/>
    <mergeCell ref="G37:I37"/>
    <mergeCell ref="G23:I23"/>
    <mergeCell ref="K23:M23"/>
    <mergeCell ref="P23:R23"/>
    <mergeCell ref="F24:I24"/>
    <mergeCell ref="J24:M24"/>
    <mergeCell ref="N24:R24"/>
    <mergeCell ref="B25:B26"/>
    <mergeCell ref="G17:I17"/>
    <mergeCell ref="K17:M17"/>
    <mergeCell ref="P17:R17"/>
    <mergeCell ref="F18:I18"/>
    <mergeCell ref="C25:D26"/>
    <mergeCell ref="G25:I25"/>
    <mergeCell ref="K25:M25"/>
    <mergeCell ref="P25:R25"/>
    <mergeCell ref="F26:I26"/>
    <mergeCell ref="J26:M26"/>
    <mergeCell ref="N26:R26"/>
    <mergeCell ref="N14:O14"/>
    <mergeCell ref="F15:G15"/>
    <mergeCell ref="J15:K15"/>
    <mergeCell ref="N15:P15"/>
    <mergeCell ref="B21:B22"/>
    <mergeCell ref="C21:D22"/>
    <mergeCell ref="G21:I21"/>
    <mergeCell ref="K21:M21"/>
    <mergeCell ref="P21:R21"/>
    <mergeCell ref="F22:I22"/>
    <mergeCell ref="J22:M22"/>
    <mergeCell ref="N22:R22"/>
    <mergeCell ref="J18:M18"/>
    <mergeCell ref="N18:R18"/>
    <mergeCell ref="B19:B20"/>
    <mergeCell ref="C19:D20"/>
    <mergeCell ref="G19:I19"/>
    <mergeCell ref="K19:M19"/>
    <mergeCell ref="P19:R19"/>
    <mergeCell ref="F20:I20"/>
    <mergeCell ref="J20:M20"/>
    <mergeCell ref="N20:R20"/>
    <mergeCell ref="B17:B18"/>
    <mergeCell ref="C17:D18"/>
    <mergeCell ref="B8:C8"/>
    <mergeCell ref="D8:J8"/>
    <mergeCell ref="L8:L9"/>
    <mergeCell ref="M8:N8"/>
    <mergeCell ref="O8:S8"/>
    <mergeCell ref="B9:C9"/>
    <mergeCell ref="D9:J9"/>
    <mergeCell ref="N13:O13"/>
    <mergeCell ref="Q13:R13"/>
    <mergeCell ref="M9:N9"/>
    <mergeCell ref="O9:S9"/>
    <mergeCell ref="F11:I11"/>
    <mergeCell ref="J11:M11"/>
    <mergeCell ref="N11:R11"/>
    <mergeCell ref="S11:S16"/>
    <mergeCell ref="N12:R12"/>
    <mergeCell ref="F16:G16"/>
    <mergeCell ref="J16:K16"/>
    <mergeCell ref="N16:P16"/>
    <mergeCell ref="B11:B16"/>
    <mergeCell ref="C11:D16"/>
    <mergeCell ref="E11:E16"/>
    <mergeCell ref="F14:G14"/>
    <mergeCell ref="J14:K14"/>
    <mergeCell ref="B1:C4"/>
    <mergeCell ref="D1:S2"/>
    <mergeCell ref="P5:S5"/>
    <mergeCell ref="B6:C6"/>
    <mergeCell ref="D6:J6"/>
    <mergeCell ref="M6:Q6"/>
    <mergeCell ref="B7:C7"/>
    <mergeCell ref="D7:J7"/>
    <mergeCell ref="M7:Q7"/>
    <mergeCell ref="A25:A28"/>
    <mergeCell ref="B33:B34"/>
    <mergeCell ref="C33:D34"/>
    <mergeCell ref="G33:I33"/>
    <mergeCell ref="K33:M33"/>
    <mergeCell ref="P33:R33"/>
    <mergeCell ref="F34:I34"/>
    <mergeCell ref="J34:M34"/>
    <mergeCell ref="N34:R34"/>
    <mergeCell ref="B29:B30"/>
    <mergeCell ref="C29:D30"/>
    <mergeCell ref="G29:I29"/>
    <mergeCell ref="K29:M29"/>
    <mergeCell ref="P29:R29"/>
    <mergeCell ref="F30:I30"/>
    <mergeCell ref="J30:M30"/>
    <mergeCell ref="N30:R30"/>
    <mergeCell ref="B27:B28"/>
    <mergeCell ref="C27:D28"/>
    <mergeCell ref="G27:I27"/>
    <mergeCell ref="K27:M27"/>
    <mergeCell ref="P27:R27"/>
    <mergeCell ref="F28:I28"/>
    <mergeCell ref="J28:M28"/>
    <mergeCell ref="N44:R44"/>
    <mergeCell ref="P37:R37"/>
    <mergeCell ref="F38:I38"/>
    <mergeCell ref="J38:M38"/>
    <mergeCell ref="N38:R38"/>
    <mergeCell ref="B39:B40"/>
    <mergeCell ref="C39:D40"/>
    <mergeCell ref="G39:I39"/>
    <mergeCell ref="K39:M39"/>
    <mergeCell ref="P39:R39"/>
    <mergeCell ref="F40:I40"/>
    <mergeCell ref="J40:M40"/>
    <mergeCell ref="N40:R40"/>
    <mergeCell ref="K37:M37"/>
    <mergeCell ref="B45:B46"/>
    <mergeCell ref="C45:D46"/>
    <mergeCell ref="G45:I45"/>
    <mergeCell ref="K45:M45"/>
    <mergeCell ref="P45:R45"/>
    <mergeCell ref="F46:I46"/>
    <mergeCell ref="J46:M46"/>
    <mergeCell ref="N46:R46"/>
    <mergeCell ref="A29:A38"/>
    <mergeCell ref="B41:B42"/>
    <mergeCell ref="C41:D42"/>
    <mergeCell ref="G41:I41"/>
    <mergeCell ref="K41:M41"/>
    <mergeCell ref="P41:R41"/>
    <mergeCell ref="F42:I42"/>
    <mergeCell ref="J42:M42"/>
    <mergeCell ref="N42:R42"/>
    <mergeCell ref="B43:B44"/>
    <mergeCell ref="C43:D44"/>
    <mergeCell ref="G43:I43"/>
    <mergeCell ref="K43:M43"/>
    <mergeCell ref="P43:R43"/>
    <mergeCell ref="F44:I44"/>
    <mergeCell ref="J44:M44"/>
    <mergeCell ref="P57:R57"/>
    <mergeCell ref="F58:I58"/>
    <mergeCell ref="J58:M58"/>
    <mergeCell ref="N58:R58"/>
    <mergeCell ref="B59:B60"/>
    <mergeCell ref="C59:D60"/>
    <mergeCell ref="G59:I59"/>
    <mergeCell ref="K59:M59"/>
    <mergeCell ref="P59:R59"/>
    <mergeCell ref="F60:I60"/>
    <mergeCell ref="J60:M60"/>
    <mergeCell ref="N60:R60"/>
    <mergeCell ref="J62:M62"/>
    <mergeCell ref="N62:R62"/>
    <mergeCell ref="B63:B64"/>
    <mergeCell ref="C63:D64"/>
    <mergeCell ref="G63:I63"/>
    <mergeCell ref="K63:M63"/>
    <mergeCell ref="P63:R63"/>
    <mergeCell ref="F64:I64"/>
    <mergeCell ref="J64:M64"/>
    <mergeCell ref="N64:R64"/>
    <mergeCell ref="A43:A68"/>
    <mergeCell ref="A69:A72"/>
    <mergeCell ref="B67:B68"/>
    <mergeCell ref="C67:D68"/>
    <mergeCell ref="G67:I67"/>
    <mergeCell ref="K67:M67"/>
    <mergeCell ref="P67:R67"/>
    <mergeCell ref="F68:I68"/>
    <mergeCell ref="J68:M68"/>
    <mergeCell ref="N68:R68"/>
    <mergeCell ref="B65:B66"/>
    <mergeCell ref="C65:D66"/>
    <mergeCell ref="G65:I65"/>
    <mergeCell ref="K65:M65"/>
    <mergeCell ref="P65:R65"/>
    <mergeCell ref="F66:I66"/>
    <mergeCell ref="J66:M66"/>
    <mergeCell ref="N66:R66"/>
    <mergeCell ref="B61:B62"/>
    <mergeCell ref="C61:D62"/>
    <mergeCell ref="G61:I61"/>
    <mergeCell ref="K61:M61"/>
    <mergeCell ref="P61:R61"/>
    <mergeCell ref="F62:I62"/>
  </mergeCells>
  <conditionalFormatting sqref="O9">
    <cfRule type="cellIs" dxfId="126" priority="212" operator="equal">
      <formula>"Cálculo automático"</formula>
    </cfRule>
  </conditionalFormatting>
  <conditionalFormatting sqref="S18 S20 S22 S24">
    <cfRule type="cellIs" dxfId="125" priority="211" operator="equal">
      <formula>"Lançar valor para as duas etapas, mesmo que ZERO"</formula>
    </cfRule>
  </conditionalFormatting>
  <conditionalFormatting sqref="F17:G17 N17:P17 J17:K17 F18:R18 F19:G19 N19:P19 J19:K19 F20:R20 F21:G21 N21:P21 J21:K21 F22:R22 F23:G23 N23:P23 J23:K23 F24:R24">
    <cfRule type="cellIs" dxfId="124" priority="210" operator="equal">
      <formula>0</formula>
    </cfRule>
  </conditionalFormatting>
  <conditionalFormatting sqref="H15 Q14 L15">
    <cfRule type="cellIs" dxfId="123" priority="209" operator="equal">
      <formula>"XXX"</formula>
    </cfRule>
  </conditionalFormatting>
  <conditionalFormatting sqref="F17:R24">
    <cfRule type="cellIs" dxfId="122" priority="208" operator="equal">
      <formula>"Lançar o valor mesmo que ZERO"</formula>
    </cfRule>
  </conditionalFormatting>
  <conditionalFormatting sqref="M7">
    <cfRule type="cellIs" dxfId="121" priority="207" operator="equal">
      <formula>"Inserir n.º do boletim e se com ou sem desoneração"</formula>
    </cfRule>
  </conditionalFormatting>
  <conditionalFormatting sqref="S7">
    <cfRule type="cellIs" dxfId="120" priority="206" operator="equal">
      <formula>"Inserir data base do orçamento proposto"</formula>
    </cfRule>
  </conditionalFormatting>
  <conditionalFormatting sqref="D6">
    <cfRule type="cellIs" dxfId="119" priority="205" operator="equal">
      <formula>"Nome do Municipio"</formula>
    </cfRule>
  </conditionalFormatting>
  <conditionalFormatting sqref="D7">
    <cfRule type="cellIs" dxfId="118" priority="204" operator="equal">
      <formula>"Nome do Objeto aprovado no COC"</formula>
    </cfRule>
  </conditionalFormatting>
  <conditionalFormatting sqref="D8">
    <cfRule type="cellIs" dxfId="117" priority="203" operator="equal">
      <formula>"N.º do processo da Secretaria de Turismo"</formula>
    </cfRule>
  </conditionalFormatting>
  <conditionalFormatting sqref="F75:I75 N75:R75">
    <cfRule type="cellIs" dxfId="116" priority="202" operator="equal">
      <formula>"Lançar o valor da contrapartida, mesmo que ZERO"</formula>
    </cfRule>
  </conditionalFormatting>
  <conditionalFormatting sqref="J75:M75">
    <cfRule type="cellIs" dxfId="115" priority="200" operator="equal">
      <formula>"Lançar o valor da contrapartida, mesmo que ZERO"</formula>
    </cfRule>
  </conditionalFormatting>
  <conditionalFormatting sqref="S52">
    <cfRule type="cellIs" dxfId="114" priority="143" operator="equal">
      <formula>"Lançar valor para as duas etapas, mesmo que ZERO"</formula>
    </cfRule>
  </conditionalFormatting>
  <conditionalFormatting sqref="F25 F27 F29 F31 F47 F49 F51 F53 F48:R48 F50:R50 F52:R52 F54:R54 F30:R30 F28:R28">
    <cfRule type="cellIs" dxfId="113" priority="199" operator="equal">
      <formula>0</formula>
    </cfRule>
  </conditionalFormatting>
  <conditionalFormatting sqref="F25 F27 F29 F31 F48:R48 F47 F50:R50 F49 F52:R52 F51 F54:R54 F53 F30:R30 F28:R28">
    <cfRule type="cellIs" dxfId="112" priority="198" operator="equal">
      <formula>"Lançar o valor mesmo que ZERO"</formula>
    </cfRule>
  </conditionalFormatting>
  <conditionalFormatting sqref="G25 N25:P25 J25:K25">
    <cfRule type="cellIs" dxfId="111" priority="196" operator="equal">
      <formula>0</formula>
    </cfRule>
  </conditionalFormatting>
  <conditionalFormatting sqref="G25:R25">
    <cfRule type="cellIs" dxfId="110" priority="195" operator="equal">
      <formula>"Lançar o valor mesmo que ZERO"</formula>
    </cfRule>
  </conditionalFormatting>
  <conditionalFormatting sqref="G27 N27:P27 J27:K27">
    <cfRule type="cellIs" dxfId="109" priority="194" operator="equal">
      <formula>0</formula>
    </cfRule>
  </conditionalFormatting>
  <conditionalFormatting sqref="G27:R27">
    <cfRule type="cellIs" dxfId="108" priority="193" operator="equal">
      <formula>"Lançar o valor mesmo que ZERO"</formula>
    </cfRule>
  </conditionalFormatting>
  <conditionalFormatting sqref="G29 N29:P29 J29:K29">
    <cfRule type="cellIs" dxfId="107" priority="192" operator="equal">
      <formula>0</formula>
    </cfRule>
  </conditionalFormatting>
  <conditionalFormatting sqref="G29:R29">
    <cfRule type="cellIs" dxfId="106" priority="191" operator="equal">
      <formula>"Lançar o valor mesmo que ZERO"</formula>
    </cfRule>
  </conditionalFormatting>
  <conditionalFormatting sqref="G31 N31:P31 J31:K31">
    <cfRule type="cellIs" dxfId="105" priority="190" operator="equal">
      <formula>0</formula>
    </cfRule>
  </conditionalFormatting>
  <conditionalFormatting sqref="G31:R31">
    <cfRule type="cellIs" dxfId="104" priority="189" operator="equal">
      <formula>"Lançar o valor mesmo que ZERO"</formula>
    </cfRule>
  </conditionalFormatting>
  <conditionalFormatting sqref="G47 N47:P47 J47:K47">
    <cfRule type="cellIs" dxfId="103" priority="188" operator="equal">
      <formula>0</formula>
    </cfRule>
  </conditionalFormatting>
  <conditionalFormatting sqref="G47:R47">
    <cfRule type="cellIs" dxfId="102" priority="187" operator="equal">
      <formula>"Lançar o valor mesmo que ZERO"</formula>
    </cfRule>
  </conditionalFormatting>
  <conditionalFormatting sqref="G49 N49:P49 J49:K49">
    <cfRule type="cellIs" dxfId="101" priority="186" operator="equal">
      <formula>0</formula>
    </cfRule>
  </conditionalFormatting>
  <conditionalFormatting sqref="G49:R49">
    <cfRule type="cellIs" dxfId="100" priority="185" operator="equal">
      <formula>"Lançar o valor mesmo que ZERO"</formula>
    </cfRule>
  </conditionalFormatting>
  <conditionalFormatting sqref="G51 N51:P51 J51:K51">
    <cfRule type="cellIs" dxfId="99" priority="184" operator="equal">
      <formula>0</formula>
    </cfRule>
  </conditionalFormatting>
  <conditionalFormatting sqref="G51:R51">
    <cfRule type="cellIs" dxfId="98" priority="183" operator="equal">
      <formula>"Lançar o valor mesmo que ZERO"</formula>
    </cfRule>
  </conditionalFormatting>
  <conditionalFormatting sqref="G53 N53:P53 J53:K53">
    <cfRule type="cellIs" dxfId="97" priority="182" operator="equal">
      <formula>0</formula>
    </cfRule>
  </conditionalFormatting>
  <conditionalFormatting sqref="G53:R53">
    <cfRule type="cellIs" dxfId="96" priority="181" operator="equal">
      <formula>"Lançar o valor mesmo que ZERO"</formula>
    </cfRule>
  </conditionalFormatting>
  <conditionalFormatting sqref="S26">
    <cfRule type="cellIs" dxfId="95" priority="149" operator="equal">
      <formula>"Lançar valor para as duas etapas, mesmo que ZERO"</formula>
    </cfRule>
  </conditionalFormatting>
  <conditionalFormatting sqref="S28">
    <cfRule type="cellIs" dxfId="94" priority="148" operator="equal">
      <formula>"Lançar valor para as duas etapas, mesmo que ZERO"</formula>
    </cfRule>
  </conditionalFormatting>
  <conditionalFormatting sqref="S30">
    <cfRule type="cellIs" dxfId="93" priority="147" operator="equal">
      <formula>"Lançar valor para as duas etapas, mesmo que ZERO"</formula>
    </cfRule>
  </conditionalFormatting>
  <conditionalFormatting sqref="S48">
    <cfRule type="cellIs" dxfId="92" priority="145" operator="equal">
      <formula>"Lançar valor para as duas etapas, mesmo que ZERO"</formula>
    </cfRule>
  </conditionalFormatting>
  <conditionalFormatting sqref="S50">
    <cfRule type="cellIs" dxfId="91" priority="144" operator="equal">
      <formula>"Lançar valor para as duas etapas, mesmo que ZERO"</formula>
    </cfRule>
  </conditionalFormatting>
  <conditionalFormatting sqref="S54">
    <cfRule type="cellIs" dxfId="90" priority="142" operator="equal">
      <formula>"Lançar valor para as duas etapas, mesmo que ZERO"</formula>
    </cfRule>
  </conditionalFormatting>
  <conditionalFormatting sqref="C17 C19:D24">
    <cfRule type="cellIs" dxfId="89" priority="105" operator="equal">
      <formula>"Descrição do Item"</formula>
    </cfRule>
  </conditionalFormatting>
  <conditionalFormatting sqref="F38:R38">
    <cfRule type="cellIs" dxfId="88" priority="55" operator="equal">
      <formula>0</formula>
    </cfRule>
  </conditionalFormatting>
  <conditionalFormatting sqref="F38:R38">
    <cfRule type="cellIs" dxfId="87" priority="54" operator="equal">
      <formula>"Lançar o valor mesmo que ZERO"</formula>
    </cfRule>
  </conditionalFormatting>
  <conditionalFormatting sqref="S38">
    <cfRule type="cellIs" dxfId="86" priority="53" operator="equal">
      <formula>"Lançar valor para as duas etapas, mesmo que ZERO"</formula>
    </cfRule>
  </conditionalFormatting>
  <conditionalFormatting sqref="F33">
    <cfRule type="cellIs" dxfId="85" priority="96" operator="equal">
      <formula>0</formula>
    </cfRule>
  </conditionalFormatting>
  <conditionalFormatting sqref="F33">
    <cfRule type="cellIs" dxfId="84" priority="95" operator="equal">
      <formula>"Lançar o valor mesmo que ZERO"</formula>
    </cfRule>
  </conditionalFormatting>
  <conditionalFormatting sqref="G33 N33:P33 J33:K33">
    <cfRule type="cellIs" dxfId="83" priority="94" operator="equal">
      <formula>0</formula>
    </cfRule>
  </conditionalFormatting>
  <conditionalFormatting sqref="G33:R33">
    <cfRule type="cellIs" dxfId="82" priority="93" operator="equal">
      <formula>"Lançar o valor mesmo que ZERO"</formula>
    </cfRule>
  </conditionalFormatting>
  <conditionalFormatting sqref="F35 F36:R36">
    <cfRule type="cellIs" dxfId="81" priority="91" operator="equal">
      <formula>0</formula>
    </cfRule>
  </conditionalFormatting>
  <conditionalFormatting sqref="F36:R36 F35">
    <cfRule type="cellIs" dxfId="80" priority="90" operator="equal">
      <formula>"Lançar o valor mesmo que ZERO"</formula>
    </cfRule>
  </conditionalFormatting>
  <conditionalFormatting sqref="G35 N35:P35 J35:K35">
    <cfRule type="cellIs" dxfId="79" priority="89" operator="equal">
      <formula>0</formula>
    </cfRule>
  </conditionalFormatting>
  <conditionalFormatting sqref="G35:R35">
    <cfRule type="cellIs" dxfId="78" priority="88" operator="equal">
      <formula>"Lançar o valor mesmo que ZERO"</formula>
    </cfRule>
  </conditionalFormatting>
  <conditionalFormatting sqref="S36">
    <cfRule type="cellIs" dxfId="77" priority="87" operator="equal">
      <formula>"Lançar valor para as duas etapas, mesmo que ZERO"</formula>
    </cfRule>
  </conditionalFormatting>
  <conditionalFormatting sqref="F37">
    <cfRule type="cellIs" dxfId="76" priority="86" operator="equal">
      <formula>0</formula>
    </cfRule>
  </conditionalFormatting>
  <conditionalFormatting sqref="F37">
    <cfRule type="cellIs" dxfId="75" priority="85" operator="equal">
      <formula>"Lançar o valor mesmo que ZERO"</formula>
    </cfRule>
  </conditionalFormatting>
  <conditionalFormatting sqref="G37 N37:P37 J37:K37">
    <cfRule type="cellIs" dxfId="74" priority="84" operator="equal">
      <formula>0</formula>
    </cfRule>
  </conditionalFormatting>
  <conditionalFormatting sqref="G37:R37">
    <cfRule type="cellIs" dxfId="73" priority="83" operator="equal">
      <formula>"Lançar o valor mesmo que ZERO"</formula>
    </cfRule>
  </conditionalFormatting>
  <conditionalFormatting sqref="F39 F40:R40">
    <cfRule type="cellIs" dxfId="72" priority="81" operator="equal">
      <formula>0</formula>
    </cfRule>
  </conditionalFormatting>
  <conditionalFormatting sqref="F40:R40 F39">
    <cfRule type="cellIs" dxfId="71" priority="80" operator="equal">
      <formula>"Lançar o valor mesmo que ZERO"</formula>
    </cfRule>
  </conditionalFormatting>
  <conditionalFormatting sqref="G39 N39:P39 J39:K39">
    <cfRule type="cellIs" dxfId="70" priority="79" operator="equal">
      <formula>0</formula>
    </cfRule>
  </conditionalFormatting>
  <conditionalFormatting sqref="G39:R39">
    <cfRule type="cellIs" dxfId="69" priority="78" operator="equal">
      <formula>"Lançar o valor mesmo que ZERO"</formula>
    </cfRule>
  </conditionalFormatting>
  <conditionalFormatting sqref="S40">
    <cfRule type="cellIs" dxfId="68" priority="77" operator="equal">
      <formula>"Lançar valor para as duas etapas, mesmo que ZERO"</formula>
    </cfRule>
  </conditionalFormatting>
  <conditionalFormatting sqref="F41 F42:R42">
    <cfRule type="cellIs" dxfId="67" priority="76" operator="equal">
      <formula>0</formula>
    </cfRule>
  </conditionalFormatting>
  <conditionalFormatting sqref="F42:R42 F41">
    <cfRule type="cellIs" dxfId="66" priority="75" operator="equal">
      <formula>"Lançar o valor mesmo que ZERO"</formula>
    </cfRule>
  </conditionalFormatting>
  <conditionalFormatting sqref="G41 N41:P41 J41:K41">
    <cfRule type="cellIs" dxfId="65" priority="74" operator="equal">
      <formula>0</formula>
    </cfRule>
  </conditionalFormatting>
  <conditionalFormatting sqref="G41:R41">
    <cfRule type="cellIs" dxfId="64" priority="73" operator="equal">
      <formula>"Lançar o valor mesmo que ZERO"</formula>
    </cfRule>
  </conditionalFormatting>
  <conditionalFormatting sqref="S42">
    <cfRule type="cellIs" dxfId="63" priority="72" operator="equal">
      <formula>"Lançar valor para as duas etapas, mesmo que ZERO"</formula>
    </cfRule>
  </conditionalFormatting>
  <conditionalFormatting sqref="F43 F44:R44">
    <cfRule type="cellIs" dxfId="62" priority="71" operator="equal">
      <formula>0</formula>
    </cfRule>
  </conditionalFormatting>
  <conditionalFormatting sqref="F44:R44 F43">
    <cfRule type="cellIs" dxfId="61" priority="70" operator="equal">
      <formula>"Lançar o valor mesmo que ZERO"</formula>
    </cfRule>
  </conditionalFormatting>
  <conditionalFormatting sqref="G43 N43:P43 J43:K43">
    <cfRule type="cellIs" dxfId="60" priority="69" operator="equal">
      <formula>0</formula>
    </cfRule>
  </conditionalFormatting>
  <conditionalFormatting sqref="G43:R43">
    <cfRule type="cellIs" dxfId="59" priority="68" operator="equal">
      <formula>"Lançar o valor mesmo que ZERO"</formula>
    </cfRule>
  </conditionalFormatting>
  <conditionalFormatting sqref="S44">
    <cfRule type="cellIs" dxfId="58" priority="67" operator="equal">
      <formula>"Lançar valor para as duas etapas, mesmo que ZERO"</formula>
    </cfRule>
  </conditionalFormatting>
  <conditionalFormatting sqref="F45 F46:R46">
    <cfRule type="cellIs" dxfId="57" priority="66" operator="equal">
      <formula>0</formula>
    </cfRule>
  </conditionalFormatting>
  <conditionalFormatting sqref="F46:R46 F45">
    <cfRule type="cellIs" dxfId="56" priority="65" operator="equal">
      <formula>"Lançar o valor mesmo que ZERO"</formula>
    </cfRule>
  </conditionalFormatting>
  <conditionalFormatting sqref="G45 N45:P45 J45:K45">
    <cfRule type="cellIs" dxfId="55" priority="64" operator="equal">
      <formula>0</formula>
    </cfRule>
  </conditionalFormatting>
  <conditionalFormatting sqref="G45:R45">
    <cfRule type="cellIs" dxfId="54" priority="63" operator="equal">
      <formula>"Lançar o valor mesmo que ZERO"</formula>
    </cfRule>
  </conditionalFormatting>
  <conditionalFormatting sqref="S46">
    <cfRule type="cellIs" dxfId="53" priority="62" operator="equal">
      <formula>"Lançar valor para as duas etapas, mesmo que ZERO"</formula>
    </cfRule>
  </conditionalFormatting>
  <conditionalFormatting sqref="F32:R32">
    <cfRule type="cellIs" dxfId="52" priority="61" operator="equal">
      <formula>0</formula>
    </cfRule>
  </conditionalFormatting>
  <conditionalFormatting sqref="F32:R32">
    <cfRule type="cellIs" dxfId="51" priority="60" operator="equal">
      <formula>"Lançar o valor mesmo que ZERO"</formula>
    </cfRule>
  </conditionalFormatting>
  <conditionalFormatting sqref="S32">
    <cfRule type="cellIs" dxfId="50" priority="59" operator="equal">
      <formula>"Lançar valor para as duas etapas, mesmo que ZERO"</formula>
    </cfRule>
  </conditionalFormatting>
  <conditionalFormatting sqref="S34">
    <cfRule type="cellIs" dxfId="49" priority="56" operator="equal">
      <formula>"Lançar valor para as duas etapas, mesmo que ZERO"</formula>
    </cfRule>
  </conditionalFormatting>
  <conditionalFormatting sqref="F34:R34">
    <cfRule type="cellIs" dxfId="48" priority="58" operator="equal">
      <formula>0</formula>
    </cfRule>
  </conditionalFormatting>
  <conditionalFormatting sqref="F34:R34">
    <cfRule type="cellIs" dxfId="47" priority="57" operator="equal">
      <formula>"Lançar o valor mesmo que ZERO"</formula>
    </cfRule>
  </conditionalFormatting>
  <conditionalFormatting sqref="F55 F56:R56">
    <cfRule type="cellIs" dxfId="46" priority="47" operator="equal">
      <formula>0</formula>
    </cfRule>
  </conditionalFormatting>
  <conditionalFormatting sqref="F56:R56 F55">
    <cfRule type="cellIs" dxfId="45" priority="46" operator="equal">
      <formula>"Lançar o valor mesmo que ZERO"</formula>
    </cfRule>
  </conditionalFormatting>
  <conditionalFormatting sqref="G55 N55:P55 J55:K55">
    <cfRule type="cellIs" dxfId="44" priority="45" operator="equal">
      <formula>0</formula>
    </cfRule>
  </conditionalFormatting>
  <conditionalFormatting sqref="G55:R55">
    <cfRule type="cellIs" dxfId="43" priority="44" operator="equal">
      <formula>"Lançar o valor mesmo que ZERO"</formula>
    </cfRule>
  </conditionalFormatting>
  <conditionalFormatting sqref="S56">
    <cfRule type="cellIs" dxfId="42" priority="43" operator="equal">
      <formula>"Lançar valor para as duas etapas, mesmo que ZERO"</formula>
    </cfRule>
  </conditionalFormatting>
  <conditionalFormatting sqref="F57 F58:R58">
    <cfRule type="cellIs" dxfId="41" priority="42" operator="equal">
      <formula>0</formula>
    </cfRule>
  </conditionalFormatting>
  <conditionalFormatting sqref="F58:R58 F57">
    <cfRule type="cellIs" dxfId="40" priority="41" operator="equal">
      <formula>"Lançar o valor mesmo que ZERO"</formula>
    </cfRule>
  </conditionalFormatting>
  <conditionalFormatting sqref="G57 N57:P57 J57:K57">
    <cfRule type="cellIs" dxfId="39" priority="40" operator="equal">
      <formula>0</formula>
    </cfRule>
  </conditionalFormatting>
  <conditionalFormatting sqref="G57:R57">
    <cfRule type="cellIs" dxfId="38" priority="39" operator="equal">
      <formula>"Lançar o valor mesmo que ZERO"</formula>
    </cfRule>
  </conditionalFormatting>
  <conditionalFormatting sqref="S58">
    <cfRule type="cellIs" dxfId="37" priority="38" operator="equal">
      <formula>"Lançar valor para as duas etapas, mesmo que ZERO"</formula>
    </cfRule>
  </conditionalFormatting>
  <conditionalFormatting sqref="F59 F60:R60">
    <cfRule type="cellIs" dxfId="36" priority="37" operator="equal">
      <formula>0</formula>
    </cfRule>
  </conditionalFormatting>
  <conditionalFormatting sqref="F60:R60 F59">
    <cfRule type="cellIs" dxfId="35" priority="36" operator="equal">
      <formula>"Lançar o valor mesmo que ZERO"</formula>
    </cfRule>
  </conditionalFormatting>
  <conditionalFormatting sqref="G59 N59:P59 J59:K59">
    <cfRule type="cellIs" dxfId="34" priority="35" operator="equal">
      <formula>0</formula>
    </cfRule>
  </conditionalFormatting>
  <conditionalFormatting sqref="G59:R59">
    <cfRule type="cellIs" dxfId="33" priority="34" operator="equal">
      <formula>"Lançar o valor mesmo que ZERO"</formula>
    </cfRule>
  </conditionalFormatting>
  <conditionalFormatting sqref="S60">
    <cfRule type="cellIs" dxfId="32" priority="33" operator="equal">
      <formula>"Lançar valor para as duas etapas, mesmo que ZERO"</formula>
    </cfRule>
  </conditionalFormatting>
  <conditionalFormatting sqref="F61 F62:R62">
    <cfRule type="cellIs" dxfId="31" priority="32" operator="equal">
      <formula>0</formula>
    </cfRule>
  </conditionalFormatting>
  <conditionalFormatting sqref="F62:R62 F61">
    <cfRule type="cellIs" dxfId="30" priority="31" operator="equal">
      <formula>"Lançar o valor mesmo que ZERO"</formula>
    </cfRule>
  </conditionalFormatting>
  <conditionalFormatting sqref="G61 N61:P61 J61:K61">
    <cfRule type="cellIs" dxfId="29" priority="30" operator="equal">
      <formula>0</formula>
    </cfRule>
  </conditionalFormatting>
  <conditionalFormatting sqref="G61:R61">
    <cfRule type="cellIs" dxfId="28" priority="29" operator="equal">
      <formula>"Lançar o valor mesmo que ZERO"</formula>
    </cfRule>
  </conditionalFormatting>
  <conditionalFormatting sqref="S62">
    <cfRule type="cellIs" dxfId="27" priority="28" operator="equal">
      <formula>"Lançar valor para as duas etapas, mesmo que ZERO"</formula>
    </cfRule>
  </conditionalFormatting>
  <conditionalFormatting sqref="F63 F64:R64">
    <cfRule type="cellIs" dxfId="26" priority="27" operator="equal">
      <formula>0</formula>
    </cfRule>
  </conditionalFormatting>
  <conditionalFormatting sqref="F64:R64 F63">
    <cfRule type="cellIs" dxfId="25" priority="26" operator="equal">
      <formula>"Lançar o valor mesmo que ZERO"</formula>
    </cfRule>
  </conditionalFormatting>
  <conditionalFormatting sqref="G63 N63:P63 J63:K63">
    <cfRule type="cellIs" dxfId="24" priority="25" operator="equal">
      <formula>0</formula>
    </cfRule>
  </conditionalFormatting>
  <conditionalFormatting sqref="G63:R63">
    <cfRule type="cellIs" dxfId="23" priority="24" operator="equal">
      <formula>"Lançar o valor mesmo que ZERO"</formula>
    </cfRule>
  </conditionalFormatting>
  <conditionalFormatting sqref="S64">
    <cfRule type="cellIs" dxfId="22" priority="23" operator="equal">
      <formula>"Lançar valor para as duas etapas, mesmo que ZERO"</formula>
    </cfRule>
  </conditionalFormatting>
  <conditionalFormatting sqref="F65 F66:R66">
    <cfRule type="cellIs" dxfId="21" priority="22" operator="equal">
      <formula>0</formula>
    </cfRule>
  </conditionalFormatting>
  <conditionalFormatting sqref="F66:R66 F65">
    <cfRule type="cellIs" dxfId="20" priority="21" operator="equal">
      <formula>"Lançar o valor mesmo que ZERO"</formula>
    </cfRule>
  </conditionalFormatting>
  <conditionalFormatting sqref="G65 N65:P65 J65:K65">
    <cfRule type="cellIs" dxfId="19" priority="20" operator="equal">
      <formula>0</formula>
    </cfRule>
  </conditionalFormatting>
  <conditionalFormatting sqref="G65:R65">
    <cfRule type="cellIs" dxfId="18" priority="19" operator="equal">
      <formula>"Lançar o valor mesmo que ZERO"</formula>
    </cfRule>
  </conditionalFormatting>
  <conditionalFormatting sqref="S66">
    <cfRule type="cellIs" dxfId="17" priority="18" operator="equal">
      <formula>"Lançar valor para as duas etapas, mesmo que ZERO"</formula>
    </cfRule>
  </conditionalFormatting>
  <conditionalFormatting sqref="F69 F70:R70">
    <cfRule type="cellIs" dxfId="16" priority="17" operator="equal">
      <formula>0</formula>
    </cfRule>
  </conditionalFormatting>
  <conditionalFormatting sqref="F70:R70 F69">
    <cfRule type="cellIs" dxfId="15" priority="16" operator="equal">
      <formula>"Lançar o valor mesmo que ZERO"</formula>
    </cfRule>
  </conditionalFormatting>
  <conditionalFormatting sqref="G69 N69:P69 J69:K69">
    <cfRule type="cellIs" dxfId="14" priority="15" operator="equal">
      <formula>0</formula>
    </cfRule>
  </conditionalFormatting>
  <conditionalFormatting sqref="G69:R69">
    <cfRule type="cellIs" dxfId="13" priority="14" operator="equal">
      <formula>"Lançar o valor mesmo que ZERO"</formula>
    </cfRule>
  </conditionalFormatting>
  <conditionalFormatting sqref="S70">
    <cfRule type="cellIs" dxfId="12" priority="13" operator="equal">
      <formula>"Lançar valor para as duas etapas, mesmo que ZERO"</formula>
    </cfRule>
  </conditionalFormatting>
  <conditionalFormatting sqref="F71 F72:R72">
    <cfRule type="cellIs" dxfId="11" priority="12" operator="equal">
      <formula>0</formula>
    </cfRule>
  </conditionalFormatting>
  <conditionalFormatting sqref="F72:R72 F71">
    <cfRule type="cellIs" dxfId="10" priority="11" operator="equal">
      <formula>"Lançar o valor mesmo que ZERO"</formula>
    </cfRule>
  </conditionalFormatting>
  <conditionalFormatting sqref="G71 N71:P71 J71:K71">
    <cfRule type="cellIs" dxfId="9" priority="10" operator="equal">
      <formula>0</formula>
    </cfRule>
  </conditionalFormatting>
  <conditionalFormatting sqref="G71:R71">
    <cfRule type="cellIs" dxfId="8" priority="9" operator="equal">
      <formula>"Lançar o valor mesmo que ZERO"</formula>
    </cfRule>
  </conditionalFormatting>
  <conditionalFormatting sqref="S72">
    <cfRule type="cellIs" dxfId="7" priority="8" operator="equal">
      <formula>"Lançar valor para as duas etapas, mesmo que ZERO"</formula>
    </cfRule>
  </conditionalFormatting>
  <conditionalFormatting sqref="F26:R26">
    <cfRule type="cellIs" dxfId="6" priority="7" operator="equal">
      <formula>0</formula>
    </cfRule>
  </conditionalFormatting>
  <conditionalFormatting sqref="F26:R26">
    <cfRule type="cellIs" dxfId="5" priority="6" operator="equal">
      <formula>"Lançar o valor mesmo que ZERO"</formula>
    </cfRule>
  </conditionalFormatting>
  <conditionalFormatting sqref="F67 F68:R68">
    <cfRule type="cellIs" dxfId="4" priority="5" operator="equal">
      <formula>0</formula>
    </cfRule>
  </conditionalFormatting>
  <conditionalFormatting sqref="F68:R68 F67">
    <cfRule type="cellIs" dxfId="3" priority="4" operator="equal">
      <formula>"Lançar o valor mesmo que ZERO"</formula>
    </cfRule>
  </conditionalFormatting>
  <conditionalFormatting sqref="G67 N67:P67 J67:K67">
    <cfRule type="cellIs" dxfId="2" priority="3" operator="equal">
      <formula>0</formula>
    </cfRule>
  </conditionalFormatting>
  <conditionalFormatting sqref="G67:R67">
    <cfRule type="cellIs" dxfId="1" priority="2" operator="equal">
      <formula>"Lançar o valor mesmo que ZERO"</formula>
    </cfRule>
  </conditionalFormatting>
  <conditionalFormatting sqref="S68">
    <cfRule type="cellIs" dxfId="0" priority="1" operator="equal">
      <formula>"Lançar valor para as duas etapas, mesmo que ZERO"</formula>
    </cfRule>
  </conditionalFormatting>
  <pageMargins left="0.23622047244094491" right="0.23622047244094491" top="0.74803149606299213" bottom="0.74803149606299213" header="0.31496062992125984" footer="0.31496062992125984"/>
  <pageSetup paperSize="9" scale="59" fitToHeight="0" orientation="portrait" r:id="rId1"/>
  <rowBreaks count="1" manualBreakCount="1">
    <brk id="56" max="1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7</vt:i4>
      </vt:variant>
    </vt:vector>
  </HeadingPairs>
  <TitlesOfParts>
    <vt:vector size="11" baseType="lpstr">
      <vt:lpstr>ORÇAMENTO</vt:lpstr>
      <vt:lpstr>MEMÓRIA DE CÁLCULO</vt:lpstr>
      <vt:lpstr>Cronograma Fis-Fin. 12 meses</vt:lpstr>
      <vt:lpstr>CRONOGRAMA DE DESEMBOLSO PADRÃO</vt:lpstr>
      <vt:lpstr>'CRONOGRAMA DE DESEMBOLSO PADRÃO'!Area_de_impressao</vt:lpstr>
      <vt:lpstr>'Cronograma Fis-Fin. 12 meses'!Area_de_impressao</vt:lpstr>
      <vt:lpstr>'MEMÓRIA DE CÁLCULO'!Area_de_impressao</vt:lpstr>
      <vt:lpstr>ORÇAMENTO!Area_de_impressao</vt:lpstr>
      <vt:lpstr>'Cronograma Fis-Fin. 12 meses'!Titulos_de_impressao</vt:lpstr>
      <vt:lpstr>'MEMÓRIA DE CÁLCULO'!Titulos_de_impressao</vt:lpstr>
      <vt:lpstr>ORÇAMENTO!Titulos_de_impressao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Denis</cp:lastModifiedBy>
  <cp:lastPrinted>2023-01-06T17:22:43Z</cp:lastPrinted>
  <dcterms:created xsi:type="dcterms:W3CDTF">2017-08-30T19:42:29Z</dcterms:created>
  <dcterms:modified xsi:type="dcterms:W3CDTF">2023-01-06T17:27:06Z</dcterms:modified>
</cp:coreProperties>
</file>